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ILY SALES LOG" state="visible" r:id="rId4"/>
    <sheet sheetId="2" name="__prices" state="hidden" r:id="rId5"/>
    <sheet sheetId="3" name="WEEKLY SUMMARY" state="visible" r:id="rId6"/>
    <sheet sheetId="4" name="MONTHLY P&amp;L" state="visible" r:id="rId7"/>
    <sheet sheetId="5" name="CASH FLOW TRACKER" state="visible" r:id="rId8"/>
    <sheet sheetId="6" name="INVENTORY" state="visible" r:id="rId9"/>
    <sheet sheetId="7" name="DASHBOARD" state="visible" r:id="rId10"/>
    <sheet sheetId="8" name="SETUP" state="visible" r:id="rId11"/>
  </sheets>
  <calcPr calcId="171027"/>
</workbook>
</file>

<file path=xl/sharedStrings.xml><?xml version="1.0" encoding="utf-8"?>
<sst xmlns="http://schemas.openxmlformats.org/spreadsheetml/2006/main" count="1127" uniqueCount="201">
  <si>
    <t>Date</t>
  </si>
  <si>
    <t>Day</t>
  </si>
  <si>
    <t>Product</t>
  </si>
  <si>
    <t>Category</t>
  </si>
  <si>
    <t>Qty Sold</t>
  </si>
  <si>
    <t>Unit Price (₵)</t>
  </si>
  <si>
    <t>Total (₵)</t>
  </si>
  <si>
    <t>Payment Method</t>
  </si>
  <si>
    <t>Notes</t>
  </si>
  <si>
    <t>Row Tag</t>
  </si>
  <si>
    <t>Mon</t>
  </si>
  <si>
    <t>Accra Sunset Print</t>
  </si>
  <si>
    <t>Gallery Art</t>
  </si>
  <si>
    <t>Cash</t>
  </si>
  <si>
    <t/>
  </si>
  <si>
    <t>SAMPLE</t>
  </si>
  <si>
    <t>Giclee Print</t>
  </si>
  <si>
    <t>Mobile Money</t>
  </si>
  <si>
    <t>Lagos Collage Original</t>
  </si>
  <si>
    <t>Card</t>
  </si>
  <si>
    <t>Tue</t>
  </si>
  <si>
    <t>Studio Study</t>
  </si>
  <si>
    <t>Ankara Maxi</t>
  </si>
  <si>
    <t>Fashion</t>
  </si>
  <si>
    <t>Pleated Ankara Skirt</t>
  </si>
  <si>
    <t>Transfer</t>
  </si>
  <si>
    <t>Wired Wrap</t>
  </si>
  <si>
    <t>Wed</t>
  </si>
  <si>
    <t>Pencil Skirt</t>
  </si>
  <si>
    <t>Kente Shawl</t>
  </si>
  <si>
    <t>Handmade Journal</t>
  </si>
  <si>
    <t>Gifts</t>
  </si>
  <si>
    <t>Mini Tote</t>
  </si>
  <si>
    <t>Custom Portrait (M)</t>
  </si>
  <si>
    <t>Custom Orders</t>
  </si>
  <si>
    <t>Thu</t>
  </si>
  <si>
    <t>Travel Journal</t>
  </si>
  <si>
    <t>Beeswax Candle Set</t>
  </si>
  <si>
    <t>Custom Portrait (L)</t>
  </si>
  <si>
    <t>Gallery opening weekend</t>
  </si>
  <si>
    <t>Fri</t>
  </si>
  <si>
    <t>Wedding Gift Box</t>
  </si>
  <si>
    <t>Kente Harmony Print</t>
  </si>
  <si>
    <t>Osu Castle Print</t>
  </si>
  <si>
    <t>Wedding gift box x2</t>
  </si>
  <si>
    <t>Sat</t>
  </si>
  <si>
    <t>Original Mixed Media</t>
  </si>
  <si>
    <t>Kente Wrap Dress</t>
  </si>
  <si>
    <t>Hand-stitched Blouse</t>
  </si>
  <si>
    <t>Sun</t>
  </si>
  <si>
    <t>Crop Top</t>
  </si>
  <si>
    <t>Beaded Headband</t>
  </si>
  <si>
    <t>Adinkra Symbol Mug</t>
  </si>
  <si>
    <t>Map Mug</t>
  </si>
  <si>
    <t>Bolga Straw Tote</t>
  </si>
  <si>
    <t>Lavender Tin</t>
  </si>
  <si>
    <t>Wedding Hamper</t>
  </si>
  <si>
    <t>Labadi Beach Print</t>
  </si>
  <si>
    <t>Tour group visit</t>
  </si>
  <si>
    <t>Linen Day Dress</t>
  </si>
  <si>
    <t>New kente print drop</t>
  </si>
  <si>
    <t>Out-of-town wedding</t>
  </si>
  <si>
    <t>Wedding season ramp</t>
  </si>
  <si>
    <t>Buyer from Kumasi</t>
  </si>
  <si>
    <t>Corporate order</t>
  </si>
  <si>
    <t>Tourist pickup</t>
  </si>
  <si>
    <t>Bulk gift order</t>
  </si>
  <si>
    <t>End-of-month rush</t>
  </si>
  <si>
    <t>Payday weekend</t>
  </si>
  <si>
    <t>TOTAL / AVG</t>
  </si>
  <si>
    <t>Avg Sell Price</t>
  </si>
  <si>
    <t>Week Start</t>
  </si>
  <si>
    <t>Week End</t>
  </si>
  <si>
    <t>Total Revenue</t>
  </si>
  <si>
    <t>WoW %</t>
  </si>
  <si>
    <t>Top Category</t>
  </si>
  <si>
    <t>Cash Rev</t>
  </si>
  <si>
    <t>MoMo Rev</t>
  </si>
  <si>
    <t>{"formula":0}</t>
  </si>
  <si>
    <t>TOP 5 PRODUCTS BY REVENUE (Week 3 — Jun 15–21 2026)</t>
  </si>
  <si>
    <t>Rank</t>
  </si>
  <si>
    <t>Revenue (₵)</t>
  </si>
  <si>
    <t>Units Sold</t>
  </si>
  <si>
    <t>Item</t>
  </si>
  <si>
    <t>Wk3 Rev</t>
  </si>
  <si>
    <t>Row#</t>
  </si>
  <si>
    <t>MONTHLY P&amp;L — Twinnies Gallery (sample)</t>
  </si>
  <si>
    <t>Line</t>
  </si>
  <si>
    <t>June 2026</t>
  </si>
  <si>
    <t>July 2026</t>
  </si>
  <si>
    <t>MoM %</t>
  </si>
  <si>
    <t>REVENUE</t>
  </si>
  <si>
    <t>Gross Sales</t>
  </si>
  <si>
    <t>Returns / Refunds</t>
  </si>
  <si>
    <t>Manual — track any refunds here</t>
  </si>
  <si>
    <t>Net Revenue</t>
  </si>
  <si>
    <t>COST OF GOODS SOLD (manual — edit GHS amounts)</t>
  </si>
  <si>
    <t>Gallery Art — COGS</t>
  </si>
  <si>
    <t>Fashion — COGS</t>
  </si>
  <si>
    <t>Gifts — COGS</t>
  </si>
  <si>
    <t>Custom Orders — COGS</t>
  </si>
  <si>
    <t>Total COGS</t>
  </si>
  <si>
    <t>GROSS PROFIT</t>
  </si>
  <si>
    <t>Gross Margin %</t>
  </si>
  <si>
    <t>OPERATING EXPENSES (manual — edit GHS amounts)</t>
  </si>
  <si>
    <t>Rent</t>
  </si>
  <si>
    <t>Staff Wages</t>
  </si>
  <si>
    <t>Utilities</t>
  </si>
  <si>
    <t>Transport</t>
  </si>
  <si>
    <t>Marketing</t>
  </si>
  <si>
    <t>Miscellaneous</t>
  </si>
  <si>
    <t>Total Operating Expenses</t>
  </si>
  <si>
    <t>NET PROFIT</t>
  </si>
  <si>
    <t>Net Margin %</t>
  </si>
  <si>
    <t>CASH FLOW TRACKER — Twinnies Gallery (sample)</t>
  </si>
  <si>
    <t>MIN CASH BUFFER ALERT (₵):</t>
  </si>
  <si>
    <t>← owner edits the orange B2 cell to set the alert threshold</t>
  </si>
  <si>
    <t>Opening Balance</t>
  </si>
  <si>
    <t>Cash Sales</t>
  </si>
  <si>
    <t>MoMo Received</t>
  </si>
  <si>
    <t>Other Income</t>
  </si>
  <si>
    <t>Supplier Payments</t>
  </si>
  <si>
    <t>Personal Drawings</t>
  </si>
  <si>
    <t>Other Out</t>
  </si>
  <si>
    <t>Closing Balance</t>
  </si>
  <si>
    <t>INVENTORY MANAGEMENT — Twinnies Gallery (sample)</t>
  </si>
  <si>
    <t>SKU</t>
  </si>
  <si>
    <t>Item Name</t>
  </si>
  <si>
    <t>Unit Cost</t>
  </si>
  <si>
    <t>Selling Price</t>
  </si>
  <si>
    <t>Margin %</t>
  </si>
  <si>
    <t>Opening Stock</t>
  </si>
  <si>
    <t>Units Received</t>
  </si>
  <si>
    <t>Closing Stock</t>
  </si>
  <si>
    <t>Reorder Lvl</t>
  </si>
  <si>
    <t>Reorder Qty</t>
  </si>
  <si>
    <t>Stock Value</t>
  </si>
  <si>
    <t>Rev (helper)</t>
  </si>
  <si>
    <t>GA-PRT-01</t>
  </si>
  <si>
    <t>GA-PRT-02</t>
  </si>
  <si>
    <t>GA-PRT-03</t>
  </si>
  <si>
    <t>GA-PRT-04</t>
  </si>
  <si>
    <t>GA-PRT-05</t>
  </si>
  <si>
    <t>GA-ORG-01</t>
  </si>
  <si>
    <t>GA-ORG-02</t>
  </si>
  <si>
    <t>GA-ORG-03</t>
  </si>
  <si>
    <t>FA-DRS-01</t>
  </si>
  <si>
    <t>FA-DRS-02</t>
  </si>
  <si>
    <t>FA-DRS-03</t>
  </si>
  <si>
    <t>FA-TOP-01</t>
  </si>
  <si>
    <t>FA-TOP-02</t>
  </si>
  <si>
    <t>FA-SKT-01</t>
  </si>
  <si>
    <t>FA-SKT-02</t>
  </si>
  <si>
    <t>FA-HDB-01</t>
  </si>
  <si>
    <t>FA-HDB-02</t>
  </si>
  <si>
    <t>FA-SHL-01</t>
  </si>
  <si>
    <t>GF-MUG-01</t>
  </si>
  <si>
    <t>GF-MUG-02</t>
  </si>
  <si>
    <t>GF-NTB-01</t>
  </si>
  <si>
    <t>GF-NTB-02</t>
  </si>
  <si>
    <t>GF-BAG-01</t>
  </si>
  <si>
    <t>GF-BAG-02</t>
  </si>
  <si>
    <t>GF-CDL-01</t>
  </si>
  <si>
    <t>GF-CDL-02</t>
  </si>
  <si>
    <t>CO-CST-01</t>
  </si>
  <si>
    <t>CO-CST-02</t>
  </si>
  <si>
    <t>CO-WED-01</t>
  </si>
  <si>
    <t>CO-WED-02</t>
  </si>
  <si>
    <t>DASHBOARD — Twinnies Gallery (sample)</t>
  </si>
  <si>
    <t>MTD REVENUE</t>
  </si>
  <si>
    <t>MTD NET PROFIT</t>
  </si>
  <si>
    <t>GROSS MARGIN %</t>
  </si>
  <si>
    <t>CASH ON HAND</t>
  </si>
  <si>
    <t>TOTAL INV VALUE</t>
  </si>
  <si>
    <t>TOP 20 PRODUCTS BY REVENUE</t>
  </si>
  <si>
    <t>TOP 5 BEST SELLERS (by revenue)</t>
  </si>
  <si>
    <t>INVENTORY HEALTH — ITEMS AT/UNDER REORDER LEVEL</t>
  </si>
  <si>
    <t>Items below reorder:</t>
  </si>
  <si>
    <t>CHART DATA — REVENUE TREND (last 4 weeks)</t>
  </si>
  <si>
    <t>Total Revenue (₵)</t>
  </si>
  <si>
    <t>CHART DATA — CATEGORY BREAKDOWN (June 2026)</t>
  </si>
  <si>
    <t>CHART DATA — CASH FLOW TREND (last 7 days)</t>
  </si>
  <si>
    <t>Closing Balance (₵)</t>
  </si>
  <si>
    <t xml:space="preserve">KUNATEH SME
OPERATING WORKBOOK
Powered by Kunateh Impact
support@kunatehimpact.com</t>
  </si>
  <si>
    <t>WELCOME</t>
  </si>
  <si>
    <t>This workbook is a 7-tab business operating template built for Ghana-based small businesses. Each tab feeds data into the DASHBOARD. The sample data (Twinnies Gallery art / fashion) is shaded amber and tagged "SAMPLE" in the last column. To delete sample rows: filter the Row Tag column, hide every row tagged "SAMPLE", or select and delete them.</t>
  </si>
  <si>
    <t>1. HOW TO LOG DAILY SALES (DAILY SALES LOG tab)</t>
  </si>
  <si>
    <t xml:space="preserve">Each row on DAILY SALES LOG is ONE product line sold that day. Add as many rows as you sold different products.
1. Enter the Date (DD/MM/YYYY is auto-formatted).
2. Type the Product name — must match an Item Name on the INVENTORY tab so the Unit Price auto-fills via VLOOKUP. Auto-resolves the Category column too.
3. Enter Qty Sold. The Total (₵) cell calculates as Qty × Unit Price automatically.
4. Pick a Payment Method (Cash / Mobile Money / Card / Transfer).
5. Add optional notes (e.g. "Wedding gift box x2").
New rows extend down — formula ranges go to row 500 so you don't need to update anything until you sell 500+ products a month.</t>
  </si>
  <si>
    <t>2. HOW TO ADD PRODUCTS TO INVENTORY</t>
  </si>
  <si>
    <t>Add a new row with SKU, Item Name, Category, Unit Cost, Selling Price, Opening Stock, Units Received, and Units Sold. Closing Stock is auto-computed. Stock Value is auto-computed. If Closing Stock falls at or below Reorder Lvl, the cell turns RED. Edit the Reorder Qty column to receive a "reorder to 2× target" suggestion.</t>
  </si>
  <si>
    <t>3. HOW TO READ THE DASHBOARD</t>
  </si>
  <si>
    <t>Five KPI tiles at the top show MTD Revenue, MTD Net Profit, Gross Margin %, Cash on Hand, and Total Inventory Value. The Top 20 Products list auto-ranks by revenue (Helper column P). The Top 5 Best Sellers shows your best revenue performers. Inventory Health shows items at or under their reorder level. The three CHART DATA blocks feed bar/line/pie charts you build with Insert → Chart in Google Sheets (or Excel). On WEEKLY SUMMARY there is also a "Top 5 Products by Revenue" block for the current week (helper columns M:N hold per-product weekly totals).</t>
  </si>
  <si>
    <t>PAYMENT METHODS (Ghana)</t>
  </si>
  <si>
    <t>Ghana — Cash, Mobile Money (MTN / Vodafone / AirtelTigo), Card (Visa / Mastercard), Bank Transfer. To change the available methods: edit the Payment Method column in DAILY SALES LOG (drop-down not required; just keep them consistent).</t>
  </si>
  <si>
    <t>FORMULA NOTES</t>
  </si>
  <si>
    <t>All formulas use functions supported by both Google Sheets and Excel — SUMIFS, IFERROR, VLOOKUP, INDEX/MATCH, SUMPRODUCT, COUNTIF, LARGE, SMALL, IF, MAX, MIN. No QUERY / IMPORTRANGE / ARRAYFORMULA. Edit prices on the INVENTORY tab and Unit Price (and Total) on DAILY SALES LOG will update automatically.</t>
  </si>
  <si>
    <t>CHARTS (Google Sheets)</t>
  </si>
  <si>
    <t xml:space="preserve">The three CHART DATA blocks at the bottom feed the dashboard visuals.
• Revenue Trend: Insert → Chart → choose bar/line chart, select A:B range "Week Start / Total Revenue (₵)".
• Category Breakdown: Insert → Chart → pie/donut chart — select Category + Revenue columns.
• Cash Flow Trend: Insert → Chart → line chart — select Date + Closing Balance columns.</t>
  </si>
  <si>
    <t>REGENERATING THE WORKBOOK</t>
  </si>
  <si>
    <t xml:space="preserve">If structure changes, run: node scripts/build-sme-workbook.js
Output: public/workbook/kunateh-sme-workbook.xlsx (also mirrored to public/downloads/ghana-sme-workbook.xlsx for the /tools page).</t>
  </si>
  <si>
    <t>Powered by Kunateh Impact — kunatehimpact.com — support@kunatehimpact.com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</si>
</sst>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"/>
    <numFmt numFmtId="165" formatCode="&quot;₵&quot;#,##0.00;[Red]-&quot;₵&quot;#,##0.00"/>
    <numFmt numFmtId="166" formatCode="0.0%"/>
  </numFmts>
  <fonts count="13" x14ac:knownFonts="1">
    <font>
      <color theme="1"/>
      <family val="2"/>
      <scheme val="minor"/>
      <sz val="11"/>
      <name val="Calibri"/>
    </font>
    <font>
      <b/>
      <color rgb="ffffff"/>
      <sz val="11"/>
      <name val="Calibri"/>
    </font>
    <font>
      <b/>
      <color rgb="ffffff"/>
    </font>
    <font>
      <b/>
      <color rgb="ffffff"/>
      <sz val="12"/>
      <name val="Calibri"/>
    </font>
    <font>
      <i/>
      <color rgb="FF7a7a7a"/>
      <sz val="9"/>
    </font>
    <font>
      <color rgb="FF7a7a7a"/>
      <sz val="9"/>
    </font>
    <font/>
    <font>
      <i/>
      <color rgb="FF7a7a7a"/>
      <sz val="10"/>
    </font>
    <font>
      <b/>
    </font>
    <font>
      <b/>
      <color rgb="ffffff"/>
      <sz val="22"/>
      <name val="Calibri"/>
    </font>
    <font>
      <b/>
      <color rgb="FFc47d1e"/>
      <sz val="14"/>
    </font>
    <font>
      <color rgb="FF0a0a0a"/>
      <sz val="11"/>
      <name val="Calibri"/>
    </font>
    <font>
      <i/>
      <color rgb="FF7a7a7a"/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a0a0a"/>
      </patternFill>
    </fill>
    <fill>
      <patternFill patternType="solid">
        <fgColor rgb="FFf5ebd9"/>
      </patternFill>
    </fill>
    <fill>
      <patternFill patternType="solid">
        <fgColor rgb="FFc47d1e"/>
      </patternFill>
    </fill>
    <fill>
      <patternFill patternType="solid">
        <fgColor rgb="FFf8f6f1"/>
      </patternFill>
    </fill>
  </fills>
  <borders count="2">
    <border>
      <left/>
      <right/>
      <top/>
      <bottom/>
      <diagonal/>
    </border>
    <border>
      <left style="thin">
        <color rgb="FF0a0a0a"/>
      </left>
      <right style="thin">
        <color rgb="FF0a0a0a"/>
      </right>
      <top style="thin">
        <color rgb="FF0a0a0a"/>
      </top>
      <bottom style="thin">
        <color rgb="FF0a0a0a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64" fontId="0" fillId="3" borderId="0" xfId="0" applyNumberFormat="1" applyFill="1"/>
    <xf numFmtId="0" fontId="0" fillId="3" borderId="0" xfId="0" applyFill="1"/>
    <xf numFmtId="165" fontId="0" fillId="3" borderId="0" xfId="0" applyNumberFormat="1" applyFill="1"/>
    <xf numFmtId="0" fontId="2" fillId="4" borderId="0" xfId="0" applyFont="1" applyFill="1" applyAlignment="1">
      <alignment horizontal="left" vertical="center"/>
    </xf>
    <xf numFmtId="3" fontId="0" fillId="0" borderId="0" xfId="0" applyNumberForma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3" fillId="4" borderId="0" xfId="0" applyFont="1" applyFill="1" applyAlignment="1">
      <alignment horizontal="left" vertical="center"/>
    </xf>
    <xf numFmtId="0" fontId="4" fillId="0" borderId="0" xfId="0" applyFont="1"/>
    <xf numFmtId="0" fontId="5" fillId="0" borderId="0" xfId="0" applyFont="1"/>
    <xf numFmtId="165" fontId="5" fillId="0" borderId="0" xfId="0" applyNumberFormat="1" applyFont="1"/>
    <xf numFmtId="0" fontId="6" fillId="0" borderId="0" xfId="0" applyFont="1"/>
    <xf numFmtId="0" fontId="7" fillId="0" borderId="0" xfId="0" applyFont="1"/>
    <xf numFmtId="0" fontId="8" fillId="0" borderId="0" xfId="0" applyFont="1"/>
    <xf numFmtId="165" fontId="8" fillId="0" borderId="0" xfId="0" applyNumberFormat="1" applyFont="1"/>
    <xf numFmtId="165" fontId="8" fillId="3" borderId="0" xfId="0" applyNumberFormat="1" applyFont="1" applyFill="1"/>
    <xf numFmtId="166" fontId="0" fillId="3" borderId="0" xfId="0" applyNumberFormat="1" applyFill="1"/>
    <xf numFmtId="3" fontId="0" fillId="3" borderId="0" xfId="0" applyNumberFormat="1" applyFill="1"/>
    <xf numFmtId="0" fontId="1" fillId="2" borderId="0" xfId="0" applyFont="1" applyFill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166" fontId="9" fillId="2" borderId="0" xfId="0" applyNumberFormat="1" applyFont="1" applyFill="1" applyAlignment="1">
      <alignment horizontal="center" vertical="center"/>
    </xf>
    <xf numFmtId="3" fontId="10" fillId="0" borderId="0" xfId="0" applyNumberFormat="1" applyFont="1"/>
    <xf numFmtId="0" fontId="9" fillId="2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vertical="top" wrapText="1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color rgb="ffffff"/>
      </font>
      <fill>
        <patternFill patternType="solid">
          <fgColor rgb="FFff6b6b"/>
        </patternFill>
      </fill>
    </dxf>
    <dxf>
      <font>
        <b/>
        <color rgb="ffffff"/>
      </font>
      <fill>
        <patternFill patternType="solid">
          <fgColor rgb="FFff6b6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8" customWidth="1"/>
    <col min="3" max="3" width="26" customWidth="1"/>
    <col min="4" max="4" width="14" customWidth="1"/>
    <col min="5" max="5" width="10" customWidth="1"/>
    <col min="6" max="6" width="13" customWidth="1"/>
    <col min="7" max="8" width="14" customWidth="1"/>
    <col min="9" max="9" width="32" customWidth="1"/>
    <col min="10" max="10" width="11" customWidth="1"/>
  </cols>
  <sheetData>
    <row r="1" ht="24" customHeight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46174</v>
      </c>
      <c r="B2" s="3" t="s">
        <v>10</v>
      </c>
      <c r="C2" s="3" t="s">
        <v>11</v>
      </c>
      <c r="D2" s="3" t="s">
        <v>12</v>
      </c>
      <c r="E2" s="3">
        <v>1</v>
      </c>
      <c r="F2" s="4">
        <f>IFERROR(VLOOKUP(C2,INVENTORY!$B:$E,4,FALSE),0)</f>
      </c>
      <c r="G2" s="4">
        <f>E2*F2</f>
      </c>
      <c r="H2" s="3" t="s">
        <v>13</v>
      </c>
      <c r="I2" s="3" t="s">
        <v>14</v>
      </c>
      <c r="J2" s="3" t="s">
        <v>15</v>
      </c>
    </row>
    <row r="3" spans="1:10" x14ac:dyDescent="0.25">
      <c r="A3" s="2">
        <v>46174</v>
      </c>
      <c r="B3" s="3" t="s">
        <v>10</v>
      </c>
      <c r="C3" s="3" t="s">
        <v>16</v>
      </c>
      <c r="D3" s="3" t="s">
        <v>12</v>
      </c>
      <c r="E3" s="3">
        <v>2</v>
      </c>
      <c r="F3" s="4">
        <f>IFERROR(VLOOKUP(C3,INVENTORY!$B:$E,4,FALSE),0)</f>
      </c>
      <c r="G3" s="4">
        <f>E3*F3</f>
      </c>
      <c r="H3" s="3" t="s">
        <v>17</v>
      </c>
      <c r="I3" s="3" t="s">
        <v>14</v>
      </c>
      <c r="J3" s="3" t="s">
        <v>15</v>
      </c>
    </row>
    <row r="4" spans="1:10" x14ac:dyDescent="0.25">
      <c r="A4" s="2">
        <v>46174</v>
      </c>
      <c r="B4" s="3" t="s">
        <v>10</v>
      </c>
      <c r="C4" s="3" t="s">
        <v>18</v>
      </c>
      <c r="D4" s="3" t="s">
        <v>12</v>
      </c>
      <c r="E4" s="3">
        <v>3</v>
      </c>
      <c r="F4" s="4">
        <f>IFERROR(VLOOKUP(C4,INVENTORY!$B:$E,4,FALSE),0)</f>
      </c>
      <c r="G4" s="4">
        <f>E4*F4</f>
      </c>
      <c r="H4" s="3" t="s">
        <v>19</v>
      </c>
      <c r="I4" s="3" t="s">
        <v>14</v>
      </c>
      <c r="J4" s="3" t="s">
        <v>15</v>
      </c>
    </row>
    <row r="5" spans="1:10" x14ac:dyDescent="0.25">
      <c r="A5" s="2">
        <v>46175</v>
      </c>
      <c r="B5" s="3" t="s">
        <v>20</v>
      </c>
      <c r="C5" s="3" t="s">
        <v>21</v>
      </c>
      <c r="D5" s="3" t="s">
        <v>12</v>
      </c>
      <c r="E5" s="3">
        <v>3</v>
      </c>
      <c r="F5" s="4">
        <f>IFERROR(VLOOKUP(C5,INVENTORY!$B:$E,4,FALSE),0)</f>
      </c>
      <c r="G5" s="4">
        <f>E5*F5</f>
      </c>
      <c r="H5" s="3" t="s">
        <v>19</v>
      </c>
      <c r="I5" s="3" t="s">
        <v>14</v>
      </c>
      <c r="J5" s="3" t="s">
        <v>15</v>
      </c>
    </row>
    <row r="6" spans="1:10" x14ac:dyDescent="0.25">
      <c r="A6" s="2">
        <v>46175</v>
      </c>
      <c r="B6" s="3" t="s">
        <v>20</v>
      </c>
      <c r="C6" s="3" t="s">
        <v>22</v>
      </c>
      <c r="D6" s="3" t="s">
        <v>23</v>
      </c>
      <c r="E6" s="3">
        <v>1</v>
      </c>
      <c r="F6" s="4">
        <f>IFERROR(VLOOKUP(C6,INVENTORY!$B:$E,4,FALSE),0)</f>
      </c>
      <c r="G6" s="4">
        <f>E6*F6</f>
      </c>
      <c r="H6" s="3" t="s">
        <v>13</v>
      </c>
      <c r="I6" s="3" t="s">
        <v>14</v>
      </c>
      <c r="J6" s="3" t="s">
        <v>15</v>
      </c>
    </row>
    <row r="7" spans="1:10" x14ac:dyDescent="0.25">
      <c r="A7" s="2">
        <v>46175</v>
      </c>
      <c r="B7" s="3" t="s">
        <v>20</v>
      </c>
      <c r="C7" s="3" t="s">
        <v>24</v>
      </c>
      <c r="D7" s="3" t="s">
        <v>23</v>
      </c>
      <c r="E7" s="3">
        <v>2</v>
      </c>
      <c r="F7" s="4">
        <f>IFERROR(VLOOKUP(C7,INVENTORY!$B:$E,4,FALSE),0)</f>
      </c>
      <c r="G7" s="4">
        <f>E7*F7</f>
      </c>
      <c r="H7" s="3" t="s">
        <v>25</v>
      </c>
      <c r="I7" s="3" t="s">
        <v>14</v>
      </c>
      <c r="J7" s="3" t="s">
        <v>15</v>
      </c>
    </row>
    <row r="8" spans="1:10" x14ac:dyDescent="0.25">
      <c r="A8" s="2">
        <v>46175</v>
      </c>
      <c r="B8" s="3" t="s">
        <v>20</v>
      </c>
      <c r="C8" s="3" t="s">
        <v>26</v>
      </c>
      <c r="D8" s="3" t="s">
        <v>23</v>
      </c>
      <c r="E8" s="3">
        <v>3</v>
      </c>
      <c r="F8" s="4">
        <f>IFERROR(VLOOKUP(C8,INVENTORY!$B:$E,4,FALSE),0)</f>
      </c>
      <c r="G8" s="4">
        <f>E8*F8</f>
      </c>
      <c r="H8" s="3" t="s">
        <v>13</v>
      </c>
      <c r="I8" s="3" t="s">
        <v>14</v>
      </c>
      <c r="J8" s="3" t="s">
        <v>15</v>
      </c>
    </row>
    <row r="9" spans="1:10" x14ac:dyDescent="0.25">
      <c r="A9" s="2">
        <v>46176</v>
      </c>
      <c r="B9" s="3" t="s">
        <v>27</v>
      </c>
      <c r="C9" s="3" t="s">
        <v>28</v>
      </c>
      <c r="D9" s="3" t="s">
        <v>23</v>
      </c>
      <c r="E9" s="3">
        <v>2</v>
      </c>
      <c r="F9" s="4">
        <f>IFERROR(VLOOKUP(C9,INVENTORY!$B:$E,4,FALSE),0)</f>
      </c>
      <c r="G9" s="4">
        <f>E9*F9</f>
      </c>
      <c r="H9" s="3" t="s">
        <v>25</v>
      </c>
      <c r="I9" s="3" t="s">
        <v>14</v>
      </c>
      <c r="J9" s="3" t="s">
        <v>15</v>
      </c>
    </row>
    <row r="10" spans="1:10" x14ac:dyDescent="0.25">
      <c r="A10" s="2">
        <v>46176</v>
      </c>
      <c r="B10" s="3" t="s">
        <v>27</v>
      </c>
      <c r="C10" s="3" t="s">
        <v>29</v>
      </c>
      <c r="D10" s="3" t="s">
        <v>23</v>
      </c>
      <c r="E10" s="3">
        <v>3</v>
      </c>
      <c r="F10" s="4">
        <f>IFERROR(VLOOKUP(C10,INVENTORY!$B:$E,4,FALSE),0)</f>
      </c>
      <c r="G10" s="4">
        <f>E10*F10</f>
      </c>
      <c r="H10" s="3" t="s">
        <v>13</v>
      </c>
      <c r="I10" s="3" t="s">
        <v>14</v>
      </c>
      <c r="J10" s="3" t="s">
        <v>15</v>
      </c>
    </row>
    <row r="11" spans="1:10" x14ac:dyDescent="0.25">
      <c r="A11" s="2">
        <v>46176</v>
      </c>
      <c r="B11" s="3" t="s">
        <v>27</v>
      </c>
      <c r="C11" s="3" t="s">
        <v>30</v>
      </c>
      <c r="D11" s="3" t="s">
        <v>31</v>
      </c>
      <c r="E11" s="3">
        <v>1</v>
      </c>
      <c r="F11" s="4">
        <f>IFERROR(VLOOKUP(C11,INVENTORY!$B:$E,4,FALSE),0)</f>
      </c>
      <c r="G11" s="4">
        <f>E11*F11</f>
      </c>
      <c r="H11" s="3" t="s">
        <v>17</v>
      </c>
      <c r="I11" s="3" t="s">
        <v>14</v>
      </c>
      <c r="J11" s="3" t="s">
        <v>15</v>
      </c>
    </row>
    <row r="12" spans="1:10" x14ac:dyDescent="0.25">
      <c r="A12" s="2">
        <v>46176</v>
      </c>
      <c r="B12" s="3" t="s">
        <v>27</v>
      </c>
      <c r="C12" s="3" t="s">
        <v>32</v>
      </c>
      <c r="D12" s="3" t="s">
        <v>31</v>
      </c>
      <c r="E12" s="3">
        <v>2</v>
      </c>
      <c r="F12" s="4">
        <f>IFERROR(VLOOKUP(C12,INVENTORY!$B:$E,4,FALSE),0)</f>
      </c>
      <c r="G12" s="4">
        <f>E12*F12</f>
      </c>
      <c r="H12" s="3" t="s">
        <v>19</v>
      </c>
      <c r="I12" s="3" t="s">
        <v>14</v>
      </c>
      <c r="J12" s="3" t="s">
        <v>15</v>
      </c>
    </row>
    <row r="13" spans="1:10" x14ac:dyDescent="0.25">
      <c r="A13" s="2">
        <v>46176</v>
      </c>
      <c r="B13" s="3" t="s">
        <v>27</v>
      </c>
      <c r="C13" s="3" t="s">
        <v>33</v>
      </c>
      <c r="D13" s="3" t="s">
        <v>34</v>
      </c>
      <c r="E13" s="3">
        <v>3</v>
      </c>
      <c r="F13" s="4">
        <f>IFERROR(VLOOKUP(C13,INVENTORY!$B:$E,4,FALSE),0)</f>
      </c>
      <c r="G13" s="4">
        <f>E13*F13</f>
      </c>
      <c r="H13" s="3" t="s">
        <v>13</v>
      </c>
      <c r="I13" s="3" t="s">
        <v>14</v>
      </c>
      <c r="J13" s="3" t="s">
        <v>15</v>
      </c>
    </row>
    <row r="14" spans="1:10" x14ac:dyDescent="0.25">
      <c r="A14" s="2">
        <v>46177</v>
      </c>
      <c r="B14" s="3" t="s">
        <v>35</v>
      </c>
      <c r="C14" s="3" t="s">
        <v>36</v>
      </c>
      <c r="D14" s="3" t="s">
        <v>31</v>
      </c>
      <c r="E14" s="3">
        <v>1</v>
      </c>
      <c r="F14" s="4">
        <f>IFERROR(VLOOKUP(C14,INVENTORY!$B:$E,4,FALSE),0)</f>
      </c>
      <c r="G14" s="4">
        <f>E14*F14</f>
      </c>
      <c r="H14" s="3" t="s">
        <v>17</v>
      </c>
      <c r="I14" s="3" t="s">
        <v>14</v>
      </c>
      <c r="J14" s="3" t="s">
        <v>15</v>
      </c>
    </row>
    <row r="15" spans="1:10" x14ac:dyDescent="0.25">
      <c r="A15" s="2">
        <v>46177</v>
      </c>
      <c r="B15" s="3" t="s">
        <v>35</v>
      </c>
      <c r="C15" s="3" t="s">
        <v>37</v>
      </c>
      <c r="D15" s="3" t="s">
        <v>31</v>
      </c>
      <c r="E15" s="3">
        <v>2</v>
      </c>
      <c r="F15" s="4">
        <f>IFERROR(VLOOKUP(C15,INVENTORY!$B:$E,4,FALSE),0)</f>
      </c>
      <c r="G15" s="4">
        <f>E15*F15</f>
      </c>
      <c r="H15" s="3" t="s">
        <v>19</v>
      </c>
      <c r="I15" s="3" t="s">
        <v>14</v>
      </c>
      <c r="J15" s="3" t="s">
        <v>15</v>
      </c>
    </row>
    <row r="16" spans="1:10" x14ac:dyDescent="0.25">
      <c r="A16" s="2">
        <v>46177</v>
      </c>
      <c r="B16" s="3" t="s">
        <v>35</v>
      </c>
      <c r="C16" s="3" t="s">
        <v>38</v>
      </c>
      <c r="D16" s="3" t="s">
        <v>34</v>
      </c>
      <c r="E16" s="3">
        <v>3</v>
      </c>
      <c r="F16" s="4">
        <f>IFERROR(VLOOKUP(C16,INVENTORY!$B:$E,4,FALSE),0)</f>
      </c>
      <c r="G16" s="4">
        <f>E16*F16</f>
      </c>
      <c r="H16" s="3" t="s">
        <v>13</v>
      </c>
      <c r="I16" s="3" t="s">
        <v>39</v>
      </c>
      <c r="J16" s="3" t="s">
        <v>15</v>
      </c>
    </row>
    <row r="17" spans="1:10" x14ac:dyDescent="0.25">
      <c r="A17" s="2">
        <v>46178</v>
      </c>
      <c r="B17" s="3" t="s">
        <v>40</v>
      </c>
      <c r="C17" s="3" t="s">
        <v>41</v>
      </c>
      <c r="D17" s="3" t="s">
        <v>34</v>
      </c>
      <c r="E17" s="3">
        <v>3</v>
      </c>
      <c r="F17" s="4">
        <f>IFERROR(VLOOKUP(C17,INVENTORY!$B:$E,4,FALSE),0)</f>
      </c>
      <c r="G17" s="4">
        <f>E17*F17</f>
      </c>
      <c r="H17" s="3" t="s">
        <v>13</v>
      </c>
      <c r="I17" s="3" t="s">
        <v>14</v>
      </c>
      <c r="J17" s="3" t="s">
        <v>15</v>
      </c>
    </row>
    <row r="18" spans="1:10" x14ac:dyDescent="0.25">
      <c r="A18" s="2">
        <v>46178</v>
      </c>
      <c r="B18" s="3" t="s">
        <v>40</v>
      </c>
      <c r="C18" s="3" t="s">
        <v>42</v>
      </c>
      <c r="D18" s="3" t="s">
        <v>12</v>
      </c>
      <c r="E18" s="3">
        <v>1</v>
      </c>
      <c r="F18" s="4">
        <f>IFERROR(VLOOKUP(C18,INVENTORY!$B:$E,4,FALSE),0)</f>
      </c>
      <c r="G18" s="4">
        <f>E18*F18</f>
      </c>
      <c r="H18" s="3" t="s">
        <v>25</v>
      </c>
      <c r="I18" s="3" t="s">
        <v>14</v>
      </c>
      <c r="J18" s="3" t="s">
        <v>15</v>
      </c>
    </row>
    <row r="19" spans="1:10" x14ac:dyDescent="0.25">
      <c r="A19" s="2">
        <v>46178</v>
      </c>
      <c r="B19" s="3" t="s">
        <v>40</v>
      </c>
      <c r="C19" s="3" t="s">
        <v>43</v>
      </c>
      <c r="D19" s="3" t="s">
        <v>12</v>
      </c>
      <c r="E19" s="3">
        <v>2</v>
      </c>
      <c r="F19" s="4">
        <f>IFERROR(VLOOKUP(C19,INVENTORY!$B:$E,4,FALSE),0)</f>
      </c>
      <c r="G19" s="4">
        <f>E19*F19</f>
      </c>
      <c r="H19" s="3" t="s">
        <v>13</v>
      </c>
      <c r="I19" s="3" t="s">
        <v>14</v>
      </c>
      <c r="J19" s="3" t="s">
        <v>15</v>
      </c>
    </row>
    <row r="20" spans="1:10" x14ac:dyDescent="0.25">
      <c r="A20" s="2">
        <v>46178</v>
      </c>
      <c r="B20" s="3" t="s">
        <v>40</v>
      </c>
      <c r="C20" s="3" t="s">
        <v>21</v>
      </c>
      <c r="D20" s="3" t="s">
        <v>12</v>
      </c>
      <c r="E20" s="3">
        <v>3</v>
      </c>
      <c r="F20" s="4">
        <f>IFERROR(VLOOKUP(C20,INVENTORY!$B:$E,4,FALSE),0)</f>
      </c>
      <c r="G20" s="4">
        <f>E20*F20</f>
      </c>
      <c r="H20" s="3" t="s">
        <v>17</v>
      </c>
      <c r="I20" s="3" t="s">
        <v>14</v>
      </c>
      <c r="J20" s="3" t="s">
        <v>15</v>
      </c>
    </row>
    <row r="21" spans="1:10" x14ac:dyDescent="0.25">
      <c r="A21" s="2">
        <v>46178</v>
      </c>
      <c r="B21" s="3" t="s">
        <v>40</v>
      </c>
      <c r="C21" s="3" t="s">
        <v>22</v>
      </c>
      <c r="D21" s="3" t="s">
        <v>23</v>
      </c>
      <c r="E21" s="3">
        <v>1</v>
      </c>
      <c r="F21" s="4">
        <f>IFERROR(VLOOKUP(C21,INVENTORY!$B:$E,4,FALSE),0)</f>
      </c>
      <c r="G21" s="4">
        <f>E21*F21</f>
      </c>
      <c r="H21" s="3" t="s">
        <v>19</v>
      </c>
      <c r="I21" s="3" t="s">
        <v>14</v>
      </c>
      <c r="J21" s="3" t="s">
        <v>15</v>
      </c>
    </row>
    <row r="22" spans="1:10" x14ac:dyDescent="0.25">
      <c r="A22" s="2">
        <v>46178</v>
      </c>
      <c r="B22" s="3" t="s">
        <v>40</v>
      </c>
      <c r="C22" s="3" t="s">
        <v>24</v>
      </c>
      <c r="D22" s="3" t="s">
        <v>23</v>
      </c>
      <c r="E22" s="3">
        <v>2</v>
      </c>
      <c r="F22" s="4">
        <f>IFERROR(VLOOKUP(C22,INVENTORY!$B:$E,4,FALSE),0)</f>
      </c>
      <c r="G22" s="4">
        <f>E22*F22</f>
      </c>
      <c r="H22" s="3" t="s">
        <v>13</v>
      </c>
      <c r="I22" s="3" t="s">
        <v>44</v>
      </c>
      <c r="J22" s="3" t="s">
        <v>15</v>
      </c>
    </row>
    <row r="23" spans="1:10" x14ac:dyDescent="0.25">
      <c r="A23" s="2">
        <v>46179</v>
      </c>
      <c r="B23" s="3" t="s">
        <v>45</v>
      </c>
      <c r="C23" s="3" t="s">
        <v>46</v>
      </c>
      <c r="D23" s="3" t="s">
        <v>12</v>
      </c>
      <c r="E23" s="3">
        <v>2</v>
      </c>
      <c r="F23" s="4">
        <f>IFERROR(VLOOKUP(C23,INVENTORY!$B:$E,4,FALSE),0)</f>
      </c>
      <c r="G23" s="4">
        <f>E23*F23</f>
      </c>
      <c r="H23" s="3" t="s">
        <v>13</v>
      </c>
      <c r="I23" s="3" t="s">
        <v>14</v>
      </c>
      <c r="J23" s="3" t="s">
        <v>15</v>
      </c>
    </row>
    <row r="24" spans="1:10" x14ac:dyDescent="0.25">
      <c r="A24" s="2">
        <v>46179</v>
      </c>
      <c r="B24" s="3" t="s">
        <v>45</v>
      </c>
      <c r="C24" s="3" t="s">
        <v>47</v>
      </c>
      <c r="D24" s="3" t="s">
        <v>23</v>
      </c>
      <c r="E24" s="3">
        <v>3</v>
      </c>
      <c r="F24" s="4">
        <f>IFERROR(VLOOKUP(C24,INVENTORY!$B:$E,4,FALSE),0)</f>
      </c>
      <c r="G24" s="4">
        <f>E24*F24</f>
      </c>
      <c r="H24" s="3" t="s">
        <v>17</v>
      </c>
      <c r="I24" s="3" t="s">
        <v>14</v>
      </c>
      <c r="J24" s="3" t="s">
        <v>15</v>
      </c>
    </row>
    <row r="25" spans="1:10" x14ac:dyDescent="0.25">
      <c r="A25" s="2">
        <v>46179</v>
      </c>
      <c r="B25" s="3" t="s">
        <v>45</v>
      </c>
      <c r="C25" s="3" t="s">
        <v>48</v>
      </c>
      <c r="D25" s="3" t="s">
        <v>23</v>
      </c>
      <c r="E25" s="3">
        <v>1</v>
      </c>
      <c r="F25" s="4">
        <f>IFERROR(VLOOKUP(C25,INVENTORY!$B:$E,4,FALSE),0)</f>
      </c>
      <c r="G25" s="4">
        <f>E25*F25</f>
      </c>
      <c r="H25" s="3" t="s">
        <v>19</v>
      </c>
      <c r="I25" s="3" t="s">
        <v>14</v>
      </c>
      <c r="J25" s="3" t="s">
        <v>15</v>
      </c>
    </row>
    <row r="26" spans="1:10" x14ac:dyDescent="0.25">
      <c r="A26" s="2">
        <v>46179</v>
      </c>
      <c r="B26" s="3" t="s">
        <v>45</v>
      </c>
      <c r="C26" s="3" t="s">
        <v>28</v>
      </c>
      <c r="D26" s="3" t="s">
        <v>23</v>
      </c>
      <c r="E26" s="3">
        <v>2</v>
      </c>
      <c r="F26" s="4">
        <f>IFERROR(VLOOKUP(C26,INVENTORY!$B:$E,4,FALSE),0)</f>
      </c>
      <c r="G26" s="4">
        <f>E26*F26</f>
      </c>
      <c r="H26" s="3" t="s">
        <v>13</v>
      </c>
      <c r="I26" s="3" t="s">
        <v>14</v>
      </c>
      <c r="J26" s="3" t="s">
        <v>15</v>
      </c>
    </row>
    <row r="27" spans="1:10" x14ac:dyDescent="0.25">
      <c r="A27" s="2">
        <v>46180</v>
      </c>
      <c r="B27" s="3" t="s">
        <v>49</v>
      </c>
      <c r="C27" s="3" t="s">
        <v>50</v>
      </c>
      <c r="D27" s="3" t="s">
        <v>23</v>
      </c>
      <c r="E27" s="3">
        <v>1</v>
      </c>
      <c r="F27" s="4">
        <f>IFERROR(VLOOKUP(C27,INVENTORY!$B:$E,4,FALSE),0)</f>
      </c>
      <c r="G27" s="4">
        <f>E27*F27</f>
      </c>
      <c r="H27" s="3" t="s">
        <v>19</v>
      </c>
      <c r="I27" s="3" t="s">
        <v>14</v>
      </c>
      <c r="J27" s="3" t="s">
        <v>15</v>
      </c>
    </row>
    <row r="28" spans="1:10" x14ac:dyDescent="0.25">
      <c r="A28" s="2">
        <v>46180</v>
      </c>
      <c r="B28" s="3" t="s">
        <v>49</v>
      </c>
      <c r="C28" s="3" t="s">
        <v>51</v>
      </c>
      <c r="D28" s="3" t="s">
        <v>23</v>
      </c>
      <c r="E28" s="3">
        <v>2</v>
      </c>
      <c r="F28" s="4">
        <f>IFERROR(VLOOKUP(C28,INVENTORY!$B:$E,4,FALSE),0)</f>
      </c>
      <c r="G28" s="4">
        <f>E28*F28</f>
      </c>
      <c r="H28" s="3" t="s">
        <v>13</v>
      </c>
      <c r="I28" s="3" t="s">
        <v>14</v>
      </c>
      <c r="J28" s="3" t="s">
        <v>15</v>
      </c>
    </row>
    <row r="29" spans="1:10" x14ac:dyDescent="0.25">
      <c r="A29" s="2">
        <v>46180</v>
      </c>
      <c r="B29" s="3" t="s">
        <v>49</v>
      </c>
      <c r="C29" s="3" t="s">
        <v>52</v>
      </c>
      <c r="D29" s="3" t="s">
        <v>31</v>
      </c>
      <c r="E29" s="3">
        <v>3</v>
      </c>
      <c r="F29" s="4">
        <f>IFERROR(VLOOKUP(C29,INVENTORY!$B:$E,4,FALSE),0)</f>
      </c>
      <c r="G29" s="4">
        <f>E29*F29</f>
      </c>
      <c r="H29" s="3" t="s">
        <v>25</v>
      </c>
      <c r="I29" s="3" t="s">
        <v>14</v>
      </c>
      <c r="J29" s="3" t="s">
        <v>15</v>
      </c>
    </row>
    <row r="30" spans="1:10" x14ac:dyDescent="0.25">
      <c r="A30" s="2">
        <v>46180</v>
      </c>
      <c r="B30" s="3" t="s">
        <v>49</v>
      </c>
      <c r="C30" s="3" t="s">
        <v>36</v>
      </c>
      <c r="D30" s="3" t="s">
        <v>31</v>
      </c>
      <c r="E30" s="3">
        <v>1</v>
      </c>
      <c r="F30" s="4">
        <f>IFERROR(VLOOKUP(C30,INVENTORY!$B:$E,4,FALSE),0)</f>
      </c>
      <c r="G30" s="4">
        <f>E30*F30</f>
      </c>
      <c r="H30" s="3" t="s">
        <v>13</v>
      </c>
      <c r="I30" s="3" t="s">
        <v>14</v>
      </c>
      <c r="J30" s="3" t="s">
        <v>15</v>
      </c>
    </row>
    <row r="31" spans="1:10" x14ac:dyDescent="0.25">
      <c r="A31" s="2">
        <v>46181</v>
      </c>
      <c r="B31" s="3" t="s">
        <v>10</v>
      </c>
      <c r="C31" s="3" t="s">
        <v>53</v>
      </c>
      <c r="D31" s="3" t="s">
        <v>31</v>
      </c>
      <c r="E31" s="3">
        <v>3</v>
      </c>
      <c r="F31" s="4">
        <f>IFERROR(VLOOKUP(C31,INVENTORY!$B:$E,4,FALSE),0)</f>
      </c>
      <c r="G31" s="4">
        <f>E31*F31</f>
      </c>
      <c r="H31" s="3" t="s">
        <v>25</v>
      </c>
      <c r="I31" s="3" t="s">
        <v>14</v>
      </c>
      <c r="J31" s="3" t="s">
        <v>15</v>
      </c>
    </row>
    <row r="32" spans="1:10" x14ac:dyDescent="0.25">
      <c r="A32" s="2">
        <v>46181</v>
      </c>
      <c r="B32" s="3" t="s">
        <v>10</v>
      </c>
      <c r="C32" s="3" t="s">
        <v>54</v>
      </c>
      <c r="D32" s="3" t="s">
        <v>31</v>
      </c>
      <c r="E32" s="3">
        <v>1</v>
      </c>
      <c r="F32" s="4">
        <f>IFERROR(VLOOKUP(C32,INVENTORY!$B:$E,4,FALSE),0)</f>
      </c>
      <c r="G32" s="4">
        <f>E32*F32</f>
      </c>
      <c r="H32" s="3" t="s">
        <v>13</v>
      </c>
      <c r="I32" s="3" t="s">
        <v>14</v>
      </c>
      <c r="J32" s="3" t="s">
        <v>15</v>
      </c>
    </row>
    <row r="33" spans="1:10" x14ac:dyDescent="0.25">
      <c r="A33" s="2">
        <v>46181</v>
      </c>
      <c r="B33" s="3" t="s">
        <v>10</v>
      </c>
      <c r="C33" s="3" t="s">
        <v>55</v>
      </c>
      <c r="D33" s="3" t="s">
        <v>31</v>
      </c>
      <c r="E33" s="3">
        <v>2</v>
      </c>
      <c r="F33" s="4">
        <f>IFERROR(VLOOKUP(C33,INVENTORY!$B:$E,4,FALSE),0)</f>
      </c>
      <c r="G33" s="4">
        <f>E33*F33</f>
      </c>
      <c r="H33" s="3" t="s">
        <v>17</v>
      </c>
      <c r="I33" s="3" t="s">
        <v>14</v>
      </c>
      <c r="J33" s="3" t="s">
        <v>15</v>
      </c>
    </row>
    <row r="34" spans="1:10" x14ac:dyDescent="0.25">
      <c r="A34" s="2">
        <v>46181</v>
      </c>
      <c r="B34" s="3" t="s">
        <v>10</v>
      </c>
      <c r="C34" s="3" t="s">
        <v>41</v>
      </c>
      <c r="D34" s="3" t="s">
        <v>34</v>
      </c>
      <c r="E34" s="3">
        <v>3</v>
      </c>
      <c r="F34" s="4">
        <f>IFERROR(VLOOKUP(C34,INVENTORY!$B:$E,4,FALSE),0)</f>
      </c>
      <c r="G34" s="4">
        <f>E34*F34</f>
      </c>
      <c r="H34" s="3" t="s">
        <v>19</v>
      </c>
      <c r="I34" s="3" t="s">
        <v>14</v>
      </c>
      <c r="J34" s="3" t="s">
        <v>15</v>
      </c>
    </row>
    <row r="35" spans="1:10" x14ac:dyDescent="0.25">
      <c r="A35" s="2">
        <v>46182</v>
      </c>
      <c r="B35" s="3" t="s">
        <v>20</v>
      </c>
      <c r="C35" s="3" t="s">
        <v>33</v>
      </c>
      <c r="D35" s="3" t="s">
        <v>34</v>
      </c>
      <c r="E35" s="3">
        <v>2</v>
      </c>
      <c r="F35" s="4">
        <f>IFERROR(VLOOKUP(C35,INVENTORY!$B:$E,4,FALSE),0)</f>
      </c>
      <c r="G35" s="4">
        <f>E35*F35</f>
      </c>
      <c r="H35" s="3" t="s">
        <v>17</v>
      </c>
      <c r="I35" s="3" t="s">
        <v>14</v>
      </c>
      <c r="J35" s="3" t="s">
        <v>15</v>
      </c>
    </row>
    <row r="36" spans="1:10" x14ac:dyDescent="0.25">
      <c r="A36" s="2">
        <v>46182</v>
      </c>
      <c r="B36" s="3" t="s">
        <v>20</v>
      </c>
      <c r="C36" s="3" t="s">
        <v>56</v>
      </c>
      <c r="D36" s="3" t="s">
        <v>34</v>
      </c>
      <c r="E36" s="3">
        <v>3</v>
      </c>
      <c r="F36" s="4">
        <f>IFERROR(VLOOKUP(C36,INVENTORY!$B:$E,4,FALSE),0)</f>
      </c>
      <c r="G36" s="4">
        <f>E36*F36</f>
      </c>
      <c r="H36" s="3" t="s">
        <v>19</v>
      </c>
      <c r="I36" s="3" t="s">
        <v>14</v>
      </c>
      <c r="J36" s="3" t="s">
        <v>15</v>
      </c>
    </row>
    <row r="37" spans="1:10" x14ac:dyDescent="0.25">
      <c r="A37" s="2">
        <v>46182</v>
      </c>
      <c r="B37" s="3" t="s">
        <v>20</v>
      </c>
      <c r="C37" s="3" t="s">
        <v>57</v>
      </c>
      <c r="D37" s="3" t="s">
        <v>12</v>
      </c>
      <c r="E37" s="3">
        <v>1</v>
      </c>
      <c r="F37" s="4">
        <f>IFERROR(VLOOKUP(C37,INVENTORY!$B:$E,4,FALSE),0)</f>
      </c>
      <c r="G37" s="4">
        <f>E37*F37</f>
      </c>
      <c r="H37" s="3" t="s">
        <v>13</v>
      </c>
      <c r="I37" s="3" t="s">
        <v>14</v>
      </c>
      <c r="J37" s="3" t="s">
        <v>15</v>
      </c>
    </row>
    <row r="38" spans="1:10" x14ac:dyDescent="0.25">
      <c r="A38" s="2">
        <v>46182</v>
      </c>
      <c r="B38" s="3" t="s">
        <v>20</v>
      </c>
      <c r="C38" s="3" t="s">
        <v>46</v>
      </c>
      <c r="D38" s="3" t="s">
        <v>12</v>
      </c>
      <c r="E38" s="3">
        <v>2</v>
      </c>
      <c r="F38" s="4">
        <f>IFERROR(VLOOKUP(C38,INVENTORY!$B:$E,4,FALSE),0)</f>
      </c>
      <c r="G38" s="4">
        <f>E38*F38</f>
      </c>
      <c r="H38" s="3" t="s">
        <v>25</v>
      </c>
      <c r="I38" s="3" t="s">
        <v>14</v>
      </c>
      <c r="J38" s="3" t="s">
        <v>15</v>
      </c>
    </row>
    <row r="39" spans="1:10" x14ac:dyDescent="0.25">
      <c r="A39" s="2">
        <v>46182</v>
      </c>
      <c r="B39" s="3" t="s">
        <v>20</v>
      </c>
      <c r="C39" s="3" t="s">
        <v>47</v>
      </c>
      <c r="D39" s="3" t="s">
        <v>23</v>
      </c>
      <c r="E39" s="3">
        <v>3</v>
      </c>
      <c r="F39" s="4">
        <f>IFERROR(VLOOKUP(C39,INVENTORY!$B:$E,4,FALSE),0)</f>
      </c>
      <c r="G39" s="4">
        <f>E39*F39</f>
      </c>
      <c r="H39" s="3" t="s">
        <v>13</v>
      </c>
      <c r="I39" s="3" t="s">
        <v>58</v>
      </c>
      <c r="J39" s="3" t="s">
        <v>15</v>
      </c>
    </row>
    <row r="40" spans="1:10" x14ac:dyDescent="0.25">
      <c r="A40" s="2">
        <v>46183</v>
      </c>
      <c r="B40" s="3" t="s">
        <v>27</v>
      </c>
      <c r="C40" s="3" t="s">
        <v>16</v>
      </c>
      <c r="D40" s="3" t="s">
        <v>12</v>
      </c>
      <c r="E40" s="3">
        <v>1</v>
      </c>
      <c r="F40" s="4">
        <f>IFERROR(VLOOKUP(C40,INVENTORY!$B:$E,4,FALSE),0)</f>
      </c>
      <c r="G40" s="4">
        <f>E40*F40</f>
      </c>
      <c r="H40" s="3" t="s">
        <v>13</v>
      </c>
      <c r="I40" s="3" t="s">
        <v>14</v>
      </c>
      <c r="J40" s="3" t="s">
        <v>15</v>
      </c>
    </row>
    <row r="41" spans="1:10" x14ac:dyDescent="0.25">
      <c r="A41" s="2">
        <v>46183</v>
      </c>
      <c r="B41" s="3" t="s">
        <v>27</v>
      </c>
      <c r="C41" s="3" t="s">
        <v>18</v>
      </c>
      <c r="D41" s="3" t="s">
        <v>12</v>
      </c>
      <c r="E41" s="3">
        <v>2</v>
      </c>
      <c r="F41" s="4">
        <f>IFERROR(VLOOKUP(C41,INVENTORY!$B:$E,4,FALSE),0)</f>
      </c>
      <c r="G41" s="4">
        <f>E41*F41</f>
      </c>
      <c r="H41" s="3" t="s">
        <v>25</v>
      </c>
      <c r="I41" s="3" t="s">
        <v>14</v>
      </c>
      <c r="J41" s="3" t="s">
        <v>15</v>
      </c>
    </row>
    <row r="42" spans="1:10" x14ac:dyDescent="0.25">
      <c r="A42" s="2">
        <v>46183</v>
      </c>
      <c r="B42" s="3" t="s">
        <v>27</v>
      </c>
      <c r="C42" s="3" t="s">
        <v>59</v>
      </c>
      <c r="D42" s="3" t="s">
        <v>23</v>
      </c>
      <c r="E42" s="3">
        <v>3</v>
      </c>
      <c r="F42" s="4">
        <f>IFERROR(VLOOKUP(C42,INVENTORY!$B:$E,4,FALSE),0)</f>
      </c>
      <c r="G42" s="4">
        <f>E42*F42</f>
      </c>
      <c r="H42" s="3" t="s">
        <v>13</v>
      </c>
      <c r="I42" s="3" t="s">
        <v>14</v>
      </c>
      <c r="J42" s="3" t="s">
        <v>15</v>
      </c>
    </row>
    <row r="43" spans="1:10" x14ac:dyDescent="0.25">
      <c r="A43" s="2">
        <v>46183</v>
      </c>
      <c r="B43" s="3" t="s">
        <v>27</v>
      </c>
      <c r="C43" s="3" t="s">
        <v>50</v>
      </c>
      <c r="D43" s="3" t="s">
        <v>23</v>
      </c>
      <c r="E43" s="3">
        <v>1</v>
      </c>
      <c r="F43" s="4">
        <f>IFERROR(VLOOKUP(C43,INVENTORY!$B:$E,4,FALSE),0)</f>
      </c>
      <c r="G43" s="4">
        <f>E43*F43</f>
      </c>
      <c r="H43" s="3" t="s">
        <v>17</v>
      </c>
      <c r="I43" s="3" t="s">
        <v>14</v>
      </c>
      <c r="J43" s="3" t="s">
        <v>15</v>
      </c>
    </row>
    <row r="44" spans="1:10" x14ac:dyDescent="0.25">
      <c r="A44" s="2">
        <v>46183</v>
      </c>
      <c r="B44" s="3" t="s">
        <v>27</v>
      </c>
      <c r="C44" s="3" t="s">
        <v>51</v>
      </c>
      <c r="D44" s="3" t="s">
        <v>23</v>
      </c>
      <c r="E44" s="3">
        <v>2</v>
      </c>
      <c r="F44" s="4">
        <f>IFERROR(VLOOKUP(C44,INVENTORY!$B:$E,4,FALSE),0)</f>
      </c>
      <c r="G44" s="4">
        <f>E44*F44</f>
      </c>
      <c r="H44" s="3" t="s">
        <v>19</v>
      </c>
      <c r="I44" s="3" t="s">
        <v>14</v>
      </c>
      <c r="J44" s="3" t="s">
        <v>15</v>
      </c>
    </row>
    <row r="45" spans="1:10" x14ac:dyDescent="0.25">
      <c r="A45" s="2">
        <v>46184</v>
      </c>
      <c r="B45" s="3" t="s">
        <v>35</v>
      </c>
      <c r="C45" s="3" t="s">
        <v>22</v>
      </c>
      <c r="D45" s="3" t="s">
        <v>23</v>
      </c>
      <c r="E45" s="3">
        <v>3</v>
      </c>
      <c r="F45" s="4">
        <f>IFERROR(VLOOKUP(C45,INVENTORY!$B:$E,4,FALSE),0)</f>
      </c>
      <c r="G45" s="4">
        <f>E45*F45</f>
      </c>
      <c r="H45" s="3" t="s">
        <v>13</v>
      </c>
      <c r="I45" s="3" t="s">
        <v>14</v>
      </c>
      <c r="J45" s="3" t="s">
        <v>15</v>
      </c>
    </row>
    <row r="46" spans="1:10" x14ac:dyDescent="0.25">
      <c r="A46" s="2">
        <v>46184</v>
      </c>
      <c r="B46" s="3" t="s">
        <v>35</v>
      </c>
      <c r="C46" s="3" t="s">
        <v>24</v>
      </c>
      <c r="D46" s="3" t="s">
        <v>23</v>
      </c>
      <c r="E46" s="3">
        <v>1</v>
      </c>
      <c r="F46" s="4">
        <f>IFERROR(VLOOKUP(C46,INVENTORY!$B:$E,4,FALSE),0)</f>
      </c>
      <c r="G46" s="4">
        <f>E46*F46</f>
      </c>
      <c r="H46" s="3" t="s">
        <v>17</v>
      </c>
      <c r="I46" s="3" t="s">
        <v>14</v>
      </c>
      <c r="J46" s="3" t="s">
        <v>15</v>
      </c>
    </row>
    <row r="47" spans="1:10" x14ac:dyDescent="0.25">
      <c r="A47" s="2">
        <v>46184</v>
      </c>
      <c r="B47" s="3" t="s">
        <v>35</v>
      </c>
      <c r="C47" s="3" t="s">
        <v>26</v>
      </c>
      <c r="D47" s="3" t="s">
        <v>23</v>
      </c>
      <c r="E47" s="3">
        <v>2</v>
      </c>
      <c r="F47" s="4">
        <f>IFERROR(VLOOKUP(C47,INVENTORY!$B:$E,4,FALSE),0)</f>
      </c>
      <c r="G47" s="4">
        <f>E47*F47</f>
      </c>
      <c r="H47" s="3" t="s">
        <v>19</v>
      </c>
      <c r="I47" s="3" t="s">
        <v>14</v>
      </c>
      <c r="J47" s="3" t="s">
        <v>15</v>
      </c>
    </row>
    <row r="48" spans="1:10" x14ac:dyDescent="0.25">
      <c r="A48" s="2">
        <v>46184</v>
      </c>
      <c r="B48" s="3" t="s">
        <v>35</v>
      </c>
      <c r="C48" s="3" t="s">
        <v>53</v>
      </c>
      <c r="D48" s="3" t="s">
        <v>31</v>
      </c>
      <c r="E48" s="3">
        <v>3</v>
      </c>
      <c r="F48" s="4">
        <f>IFERROR(VLOOKUP(C48,INVENTORY!$B:$E,4,FALSE),0)</f>
      </c>
      <c r="G48" s="4">
        <f>E48*F48</f>
      </c>
      <c r="H48" s="3" t="s">
        <v>13</v>
      </c>
      <c r="I48" s="3" t="s">
        <v>14</v>
      </c>
      <c r="J48" s="3" t="s">
        <v>15</v>
      </c>
    </row>
    <row r="49" spans="1:10" x14ac:dyDescent="0.25">
      <c r="A49" s="2">
        <v>46184</v>
      </c>
      <c r="B49" s="3" t="s">
        <v>35</v>
      </c>
      <c r="C49" s="3" t="s">
        <v>54</v>
      </c>
      <c r="D49" s="3" t="s">
        <v>31</v>
      </c>
      <c r="E49" s="3">
        <v>1</v>
      </c>
      <c r="F49" s="4">
        <f>IFERROR(VLOOKUP(C49,INVENTORY!$B:$E,4,FALSE),0)</f>
      </c>
      <c r="G49" s="4">
        <f>E49*F49</f>
      </c>
      <c r="H49" s="3" t="s">
        <v>25</v>
      </c>
      <c r="I49" s="3" t="s">
        <v>60</v>
      </c>
      <c r="J49" s="3" t="s">
        <v>15</v>
      </c>
    </row>
    <row r="50" spans="1:10" x14ac:dyDescent="0.25">
      <c r="A50" s="2">
        <v>46185</v>
      </c>
      <c r="B50" s="3" t="s">
        <v>40</v>
      </c>
      <c r="C50" s="3" t="s">
        <v>29</v>
      </c>
      <c r="D50" s="3" t="s">
        <v>23</v>
      </c>
      <c r="E50" s="3">
        <v>2</v>
      </c>
      <c r="F50" s="4">
        <f>IFERROR(VLOOKUP(C50,INVENTORY!$B:$E,4,FALSE),0)</f>
      </c>
      <c r="G50" s="4">
        <f>E50*F50</f>
      </c>
      <c r="H50" s="3" t="s">
        <v>19</v>
      </c>
      <c r="I50" s="3" t="s">
        <v>14</v>
      </c>
      <c r="J50" s="3" t="s">
        <v>15</v>
      </c>
    </row>
    <row r="51" spans="1:10" x14ac:dyDescent="0.25">
      <c r="A51" s="2">
        <v>46185</v>
      </c>
      <c r="B51" s="3" t="s">
        <v>40</v>
      </c>
      <c r="C51" s="3" t="s">
        <v>30</v>
      </c>
      <c r="D51" s="3" t="s">
        <v>31</v>
      </c>
      <c r="E51" s="3">
        <v>3</v>
      </c>
      <c r="F51" s="4">
        <f>IFERROR(VLOOKUP(C51,INVENTORY!$B:$E,4,FALSE),0)</f>
      </c>
      <c r="G51" s="4">
        <f>E51*F51</f>
      </c>
      <c r="H51" s="3" t="s">
        <v>13</v>
      </c>
      <c r="I51" s="3" t="s">
        <v>14</v>
      </c>
      <c r="J51" s="3" t="s">
        <v>15</v>
      </c>
    </row>
    <row r="52" spans="1:10" x14ac:dyDescent="0.25">
      <c r="A52" s="2">
        <v>46185</v>
      </c>
      <c r="B52" s="3" t="s">
        <v>40</v>
      </c>
      <c r="C52" s="3" t="s">
        <v>32</v>
      </c>
      <c r="D52" s="3" t="s">
        <v>31</v>
      </c>
      <c r="E52" s="3">
        <v>1</v>
      </c>
      <c r="F52" s="4">
        <f>IFERROR(VLOOKUP(C52,INVENTORY!$B:$E,4,FALSE),0)</f>
      </c>
      <c r="G52" s="4">
        <f>E52*F52</f>
      </c>
      <c r="H52" s="3" t="s">
        <v>25</v>
      </c>
      <c r="I52" s="3" t="s">
        <v>14</v>
      </c>
      <c r="J52" s="3" t="s">
        <v>15</v>
      </c>
    </row>
    <row r="53" spans="1:10" x14ac:dyDescent="0.25">
      <c r="A53" s="2">
        <v>46185</v>
      </c>
      <c r="B53" s="3" t="s">
        <v>40</v>
      </c>
      <c r="C53" s="3" t="s">
        <v>33</v>
      </c>
      <c r="D53" s="3" t="s">
        <v>34</v>
      </c>
      <c r="E53" s="3">
        <v>2</v>
      </c>
      <c r="F53" s="4">
        <f>IFERROR(VLOOKUP(C53,INVENTORY!$B:$E,4,FALSE),0)</f>
      </c>
      <c r="G53" s="4">
        <f>E53*F53</f>
      </c>
      <c r="H53" s="3" t="s">
        <v>13</v>
      </c>
      <c r="I53" s="3" t="s">
        <v>14</v>
      </c>
      <c r="J53" s="3" t="s">
        <v>15</v>
      </c>
    </row>
    <row r="54" spans="1:10" x14ac:dyDescent="0.25">
      <c r="A54" s="2">
        <v>46185</v>
      </c>
      <c r="B54" s="3" t="s">
        <v>40</v>
      </c>
      <c r="C54" s="3" t="s">
        <v>56</v>
      </c>
      <c r="D54" s="3" t="s">
        <v>34</v>
      </c>
      <c r="E54" s="3">
        <v>3</v>
      </c>
      <c r="F54" s="4">
        <f>IFERROR(VLOOKUP(C54,INVENTORY!$B:$E,4,FALSE),0)</f>
      </c>
      <c r="G54" s="4">
        <f>E54*F54</f>
      </c>
      <c r="H54" s="3" t="s">
        <v>17</v>
      </c>
      <c r="I54" s="3" t="s">
        <v>14</v>
      </c>
      <c r="J54" s="3" t="s">
        <v>15</v>
      </c>
    </row>
    <row r="55" spans="1:10" x14ac:dyDescent="0.25">
      <c r="A55" s="2">
        <v>46185</v>
      </c>
      <c r="B55" s="3" t="s">
        <v>40</v>
      </c>
      <c r="C55" s="3" t="s">
        <v>57</v>
      </c>
      <c r="D55" s="3" t="s">
        <v>12</v>
      </c>
      <c r="E55" s="3">
        <v>1</v>
      </c>
      <c r="F55" s="4">
        <f>IFERROR(VLOOKUP(C55,INVENTORY!$B:$E,4,FALSE),0)</f>
      </c>
      <c r="G55" s="4">
        <f>E55*F55</f>
      </c>
      <c r="H55" s="3" t="s">
        <v>19</v>
      </c>
      <c r="I55" s="3" t="s">
        <v>61</v>
      </c>
      <c r="J55" s="3" t="s">
        <v>15</v>
      </c>
    </row>
    <row r="56" spans="1:10" x14ac:dyDescent="0.25">
      <c r="A56" s="2">
        <v>46186</v>
      </c>
      <c r="B56" s="3" t="s">
        <v>45</v>
      </c>
      <c r="C56" s="3" t="s">
        <v>37</v>
      </c>
      <c r="D56" s="3" t="s">
        <v>31</v>
      </c>
      <c r="E56" s="3">
        <v>1</v>
      </c>
      <c r="F56" s="4">
        <f>IFERROR(VLOOKUP(C56,INVENTORY!$B:$E,4,FALSE),0)</f>
      </c>
      <c r="G56" s="4">
        <f>E56*F56</f>
      </c>
      <c r="H56" s="3" t="s">
        <v>25</v>
      </c>
      <c r="I56" s="3" t="s">
        <v>14</v>
      </c>
      <c r="J56" s="3" t="s">
        <v>15</v>
      </c>
    </row>
    <row r="57" spans="1:10" x14ac:dyDescent="0.25">
      <c r="A57" s="2">
        <v>46186</v>
      </c>
      <c r="B57" s="3" t="s">
        <v>45</v>
      </c>
      <c r="C57" s="3" t="s">
        <v>38</v>
      </c>
      <c r="D57" s="3" t="s">
        <v>34</v>
      </c>
      <c r="E57" s="3">
        <v>2</v>
      </c>
      <c r="F57" s="4">
        <f>IFERROR(VLOOKUP(C57,INVENTORY!$B:$E,4,FALSE),0)</f>
      </c>
      <c r="G57" s="4">
        <f>E57*F57</f>
      </c>
      <c r="H57" s="3" t="s">
        <v>13</v>
      </c>
      <c r="I57" s="3" t="s">
        <v>14</v>
      </c>
      <c r="J57" s="3" t="s">
        <v>15</v>
      </c>
    </row>
    <row r="58" spans="1:10" x14ac:dyDescent="0.25">
      <c r="A58" s="2">
        <v>46186</v>
      </c>
      <c r="B58" s="3" t="s">
        <v>45</v>
      </c>
      <c r="C58" s="3" t="s">
        <v>11</v>
      </c>
      <c r="D58" s="3" t="s">
        <v>12</v>
      </c>
      <c r="E58" s="3">
        <v>3</v>
      </c>
      <c r="F58" s="4">
        <f>IFERROR(VLOOKUP(C58,INVENTORY!$B:$E,4,FALSE),0)</f>
      </c>
      <c r="G58" s="4">
        <f>E58*F58</f>
      </c>
      <c r="H58" s="3" t="s">
        <v>17</v>
      </c>
      <c r="I58" s="3" t="s">
        <v>14</v>
      </c>
      <c r="J58" s="3" t="s">
        <v>15</v>
      </c>
    </row>
    <row r="59" spans="1:10" x14ac:dyDescent="0.25">
      <c r="A59" s="2">
        <v>46186</v>
      </c>
      <c r="B59" s="3" t="s">
        <v>45</v>
      </c>
      <c r="C59" s="3" t="s">
        <v>16</v>
      </c>
      <c r="D59" s="3" t="s">
        <v>12</v>
      </c>
      <c r="E59" s="3">
        <v>1</v>
      </c>
      <c r="F59" s="4">
        <f>IFERROR(VLOOKUP(C59,INVENTORY!$B:$E,4,FALSE),0)</f>
      </c>
      <c r="G59" s="4">
        <f>E59*F59</f>
      </c>
      <c r="H59" s="3" t="s">
        <v>19</v>
      </c>
      <c r="I59" s="3" t="s">
        <v>14</v>
      </c>
      <c r="J59" s="3" t="s">
        <v>15</v>
      </c>
    </row>
    <row r="60" spans="1:10" x14ac:dyDescent="0.25">
      <c r="A60" s="2">
        <v>46187</v>
      </c>
      <c r="B60" s="3" t="s">
        <v>49</v>
      </c>
      <c r="C60" s="3" t="s">
        <v>42</v>
      </c>
      <c r="D60" s="3" t="s">
        <v>12</v>
      </c>
      <c r="E60" s="3">
        <v>3</v>
      </c>
      <c r="F60" s="4">
        <f>IFERROR(VLOOKUP(C60,INVENTORY!$B:$E,4,FALSE),0)</f>
      </c>
      <c r="G60" s="4">
        <f>E60*F60</f>
      </c>
      <c r="H60" s="3" t="s">
        <v>17</v>
      </c>
      <c r="I60" s="3" t="s">
        <v>14</v>
      </c>
      <c r="J60" s="3" t="s">
        <v>15</v>
      </c>
    </row>
    <row r="61" spans="1:10" x14ac:dyDescent="0.25">
      <c r="A61" s="2">
        <v>46187</v>
      </c>
      <c r="B61" s="3" t="s">
        <v>49</v>
      </c>
      <c r="C61" s="3" t="s">
        <v>43</v>
      </c>
      <c r="D61" s="3" t="s">
        <v>12</v>
      </c>
      <c r="E61" s="3">
        <v>1</v>
      </c>
      <c r="F61" s="4">
        <f>IFERROR(VLOOKUP(C61,INVENTORY!$B:$E,4,FALSE),0)</f>
      </c>
      <c r="G61" s="4">
        <f>E61*F61</f>
      </c>
      <c r="H61" s="3" t="s">
        <v>19</v>
      </c>
      <c r="I61" s="3" t="s">
        <v>14</v>
      </c>
      <c r="J61" s="3" t="s">
        <v>15</v>
      </c>
    </row>
    <row r="62" spans="1:10" x14ac:dyDescent="0.25">
      <c r="A62" s="2">
        <v>46187</v>
      </c>
      <c r="B62" s="3" t="s">
        <v>49</v>
      </c>
      <c r="C62" s="3" t="s">
        <v>21</v>
      </c>
      <c r="D62" s="3" t="s">
        <v>12</v>
      </c>
      <c r="E62" s="3">
        <v>2</v>
      </c>
      <c r="F62" s="4">
        <f>IFERROR(VLOOKUP(C62,INVENTORY!$B:$E,4,FALSE),0)</f>
      </c>
      <c r="G62" s="4">
        <f>E62*F62</f>
      </c>
      <c r="H62" s="3" t="s">
        <v>13</v>
      </c>
      <c r="I62" s="3" t="s">
        <v>14</v>
      </c>
      <c r="J62" s="3" t="s">
        <v>15</v>
      </c>
    </row>
    <row r="63" spans="1:10" x14ac:dyDescent="0.25">
      <c r="A63" s="2">
        <v>46187</v>
      </c>
      <c r="B63" s="3" t="s">
        <v>49</v>
      </c>
      <c r="C63" s="3" t="s">
        <v>22</v>
      </c>
      <c r="D63" s="3" t="s">
        <v>23</v>
      </c>
      <c r="E63" s="3">
        <v>3</v>
      </c>
      <c r="F63" s="4">
        <f>IFERROR(VLOOKUP(C63,INVENTORY!$B:$E,4,FALSE),0)</f>
      </c>
      <c r="G63" s="4">
        <f>E63*F63</f>
      </c>
      <c r="H63" s="3" t="s">
        <v>25</v>
      </c>
      <c r="I63" s="3" t="s">
        <v>14</v>
      </c>
      <c r="J63" s="3" t="s">
        <v>15</v>
      </c>
    </row>
    <row r="64" spans="1:10" x14ac:dyDescent="0.25">
      <c r="A64" s="2">
        <v>46188</v>
      </c>
      <c r="B64" s="3" t="s">
        <v>10</v>
      </c>
      <c r="C64" s="3" t="s">
        <v>47</v>
      </c>
      <c r="D64" s="3" t="s">
        <v>23</v>
      </c>
      <c r="E64" s="3">
        <v>2</v>
      </c>
      <c r="F64" s="4">
        <f>IFERROR(VLOOKUP(C64,INVENTORY!$B:$E,4,FALSE),0)</f>
      </c>
      <c r="G64" s="4">
        <f>E64*F64</f>
      </c>
      <c r="H64" s="3" t="s">
        <v>13</v>
      </c>
      <c r="I64" s="3" t="s">
        <v>14</v>
      </c>
      <c r="J64" s="3" t="s">
        <v>15</v>
      </c>
    </row>
    <row r="65" spans="1:10" x14ac:dyDescent="0.25">
      <c r="A65" s="2">
        <v>46188</v>
      </c>
      <c r="B65" s="3" t="s">
        <v>10</v>
      </c>
      <c r="C65" s="3" t="s">
        <v>48</v>
      </c>
      <c r="D65" s="3" t="s">
        <v>23</v>
      </c>
      <c r="E65" s="3">
        <v>3</v>
      </c>
      <c r="F65" s="4">
        <f>IFERROR(VLOOKUP(C65,INVENTORY!$B:$E,4,FALSE),0)</f>
      </c>
      <c r="G65" s="4">
        <f>E65*F65</f>
      </c>
      <c r="H65" s="3" t="s">
        <v>25</v>
      </c>
      <c r="I65" s="3" t="s">
        <v>14</v>
      </c>
      <c r="J65" s="3" t="s">
        <v>15</v>
      </c>
    </row>
    <row r="66" spans="1:10" x14ac:dyDescent="0.25">
      <c r="A66" s="2">
        <v>46188</v>
      </c>
      <c r="B66" s="3" t="s">
        <v>10</v>
      </c>
      <c r="C66" s="3" t="s">
        <v>28</v>
      </c>
      <c r="D66" s="3" t="s">
        <v>23</v>
      </c>
      <c r="E66" s="3">
        <v>1</v>
      </c>
      <c r="F66" s="4">
        <f>IFERROR(VLOOKUP(C66,INVENTORY!$B:$E,4,FALSE),0)</f>
      </c>
      <c r="G66" s="4">
        <f>E66*F66</f>
      </c>
      <c r="H66" s="3" t="s">
        <v>13</v>
      </c>
      <c r="I66" s="3" t="s">
        <v>14</v>
      </c>
      <c r="J66" s="3" t="s">
        <v>15</v>
      </c>
    </row>
    <row r="67" spans="1:10" x14ac:dyDescent="0.25">
      <c r="A67" s="2">
        <v>46188</v>
      </c>
      <c r="B67" s="3" t="s">
        <v>10</v>
      </c>
      <c r="C67" s="3" t="s">
        <v>29</v>
      </c>
      <c r="D67" s="3" t="s">
        <v>23</v>
      </c>
      <c r="E67" s="3">
        <v>2</v>
      </c>
      <c r="F67" s="4">
        <f>IFERROR(VLOOKUP(C67,INVENTORY!$B:$E,4,FALSE),0)</f>
      </c>
      <c r="G67" s="4">
        <f>E67*F67</f>
      </c>
      <c r="H67" s="3" t="s">
        <v>17</v>
      </c>
      <c r="I67" s="3" t="s">
        <v>14</v>
      </c>
      <c r="J67" s="3" t="s">
        <v>15</v>
      </c>
    </row>
    <row r="68" spans="1:10" x14ac:dyDescent="0.25">
      <c r="A68" s="2">
        <v>46188</v>
      </c>
      <c r="B68" s="3" t="s">
        <v>10</v>
      </c>
      <c r="C68" s="3" t="s">
        <v>30</v>
      </c>
      <c r="D68" s="3" t="s">
        <v>31</v>
      </c>
      <c r="E68" s="3">
        <v>3</v>
      </c>
      <c r="F68" s="4">
        <f>IFERROR(VLOOKUP(C68,INVENTORY!$B:$E,4,FALSE),0)</f>
      </c>
      <c r="G68" s="4">
        <f>E68*F68</f>
      </c>
      <c r="H68" s="3" t="s">
        <v>19</v>
      </c>
      <c r="I68" s="3" t="s">
        <v>62</v>
      </c>
      <c r="J68" s="3" t="s">
        <v>15</v>
      </c>
    </row>
    <row r="69" spans="1:10" x14ac:dyDescent="0.25">
      <c r="A69" s="2">
        <v>46189</v>
      </c>
      <c r="B69" s="3" t="s">
        <v>20</v>
      </c>
      <c r="C69" s="3" t="s">
        <v>51</v>
      </c>
      <c r="D69" s="3" t="s">
        <v>23</v>
      </c>
      <c r="E69" s="3">
        <v>1</v>
      </c>
      <c r="F69" s="4">
        <f>IFERROR(VLOOKUP(C69,INVENTORY!$B:$E,4,FALSE),0)</f>
      </c>
      <c r="G69" s="4">
        <f>E69*F69</f>
      </c>
      <c r="H69" s="3" t="s">
        <v>13</v>
      </c>
      <c r="I69" s="3" t="s">
        <v>14</v>
      </c>
      <c r="J69" s="3" t="s">
        <v>15</v>
      </c>
    </row>
    <row r="70" spans="1:10" x14ac:dyDescent="0.25">
      <c r="A70" s="2">
        <v>46189</v>
      </c>
      <c r="B70" s="3" t="s">
        <v>20</v>
      </c>
      <c r="C70" s="3" t="s">
        <v>52</v>
      </c>
      <c r="D70" s="3" t="s">
        <v>31</v>
      </c>
      <c r="E70" s="3">
        <v>2</v>
      </c>
      <c r="F70" s="4">
        <f>IFERROR(VLOOKUP(C70,INVENTORY!$B:$E,4,FALSE),0)</f>
      </c>
      <c r="G70" s="4">
        <f>E70*F70</f>
      </c>
      <c r="H70" s="3" t="s">
        <v>17</v>
      </c>
      <c r="I70" s="3" t="s">
        <v>14</v>
      </c>
      <c r="J70" s="3" t="s">
        <v>15</v>
      </c>
    </row>
    <row r="71" spans="1:10" x14ac:dyDescent="0.25">
      <c r="A71" s="2">
        <v>46189</v>
      </c>
      <c r="B71" s="3" t="s">
        <v>20</v>
      </c>
      <c r="C71" s="3" t="s">
        <v>36</v>
      </c>
      <c r="D71" s="3" t="s">
        <v>31</v>
      </c>
      <c r="E71" s="3">
        <v>3</v>
      </c>
      <c r="F71" s="4">
        <f>IFERROR(VLOOKUP(C71,INVENTORY!$B:$E,4,FALSE),0)</f>
      </c>
      <c r="G71" s="4">
        <f>E71*F71</f>
      </c>
      <c r="H71" s="3" t="s">
        <v>19</v>
      </c>
      <c r="I71" s="3" t="s">
        <v>14</v>
      </c>
      <c r="J71" s="3" t="s">
        <v>15</v>
      </c>
    </row>
    <row r="72" spans="1:10" x14ac:dyDescent="0.25">
      <c r="A72" s="2">
        <v>46189</v>
      </c>
      <c r="B72" s="3" t="s">
        <v>20</v>
      </c>
      <c r="C72" s="3" t="s">
        <v>37</v>
      </c>
      <c r="D72" s="3" t="s">
        <v>31</v>
      </c>
      <c r="E72" s="3">
        <v>1</v>
      </c>
      <c r="F72" s="4">
        <f>IFERROR(VLOOKUP(C72,INVENTORY!$B:$E,4,FALSE),0)</f>
      </c>
      <c r="G72" s="4">
        <f>E72*F72</f>
      </c>
      <c r="H72" s="3" t="s">
        <v>13</v>
      </c>
      <c r="I72" s="3" t="s">
        <v>14</v>
      </c>
      <c r="J72" s="3" t="s">
        <v>15</v>
      </c>
    </row>
    <row r="73" spans="1:10" x14ac:dyDescent="0.25">
      <c r="A73" s="2">
        <v>46189</v>
      </c>
      <c r="B73" s="3" t="s">
        <v>20</v>
      </c>
      <c r="C73" s="3" t="s">
        <v>38</v>
      </c>
      <c r="D73" s="3" t="s">
        <v>34</v>
      </c>
      <c r="E73" s="3">
        <v>2</v>
      </c>
      <c r="F73" s="4">
        <f>IFERROR(VLOOKUP(C73,INVENTORY!$B:$E,4,FALSE),0)</f>
      </c>
      <c r="G73" s="4">
        <f>E73*F73</f>
      </c>
      <c r="H73" s="3" t="s">
        <v>25</v>
      </c>
      <c r="I73" s="3" t="s">
        <v>14</v>
      </c>
      <c r="J73" s="3" t="s">
        <v>15</v>
      </c>
    </row>
    <row r="74" spans="1:10" x14ac:dyDescent="0.25">
      <c r="A74" s="2">
        <v>46189</v>
      </c>
      <c r="B74" s="3" t="s">
        <v>20</v>
      </c>
      <c r="C74" s="3" t="s">
        <v>11</v>
      </c>
      <c r="D74" s="3" t="s">
        <v>12</v>
      </c>
      <c r="E74" s="3">
        <v>3</v>
      </c>
      <c r="F74" s="4">
        <f>IFERROR(VLOOKUP(C74,INVENTORY!$B:$E,4,FALSE),0)</f>
      </c>
      <c r="G74" s="4">
        <f>E74*F74</f>
      </c>
      <c r="H74" s="3" t="s">
        <v>13</v>
      </c>
      <c r="I74" s="3" t="s">
        <v>14</v>
      </c>
      <c r="J74" s="3" t="s">
        <v>15</v>
      </c>
    </row>
    <row r="75" spans="1:10" x14ac:dyDescent="0.25">
      <c r="A75" s="2">
        <v>46190</v>
      </c>
      <c r="B75" s="3" t="s">
        <v>27</v>
      </c>
      <c r="C75" s="3" t="s">
        <v>54</v>
      </c>
      <c r="D75" s="3" t="s">
        <v>31</v>
      </c>
      <c r="E75" s="3">
        <v>3</v>
      </c>
      <c r="F75" s="4">
        <f>IFERROR(VLOOKUP(C75,INVENTORY!$B:$E,4,FALSE),0)</f>
      </c>
      <c r="G75" s="4">
        <f>E75*F75</f>
      </c>
      <c r="H75" s="3" t="s">
        <v>19</v>
      </c>
      <c r="I75" s="3" t="s">
        <v>14</v>
      </c>
      <c r="J75" s="3" t="s">
        <v>15</v>
      </c>
    </row>
    <row r="76" spans="1:10" x14ac:dyDescent="0.25">
      <c r="A76" s="2">
        <v>46190</v>
      </c>
      <c r="B76" s="3" t="s">
        <v>27</v>
      </c>
      <c r="C76" s="3" t="s">
        <v>55</v>
      </c>
      <c r="D76" s="3" t="s">
        <v>31</v>
      </c>
      <c r="E76" s="3">
        <v>1</v>
      </c>
      <c r="F76" s="4">
        <f>IFERROR(VLOOKUP(C76,INVENTORY!$B:$E,4,FALSE),0)</f>
      </c>
      <c r="G76" s="4">
        <f>E76*F76</f>
      </c>
      <c r="H76" s="3" t="s">
        <v>13</v>
      </c>
      <c r="I76" s="3" t="s">
        <v>14</v>
      </c>
      <c r="J76" s="3" t="s">
        <v>15</v>
      </c>
    </row>
    <row r="77" spans="1:10" x14ac:dyDescent="0.25">
      <c r="A77" s="2">
        <v>46190</v>
      </c>
      <c r="B77" s="3" t="s">
        <v>27</v>
      </c>
      <c r="C77" s="3" t="s">
        <v>41</v>
      </c>
      <c r="D77" s="3" t="s">
        <v>34</v>
      </c>
      <c r="E77" s="3">
        <v>2</v>
      </c>
      <c r="F77" s="4">
        <f>IFERROR(VLOOKUP(C77,INVENTORY!$B:$E,4,FALSE),0)</f>
      </c>
      <c r="G77" s="4">
        <f>E77*F77</f>
      </c>
      <c r="H77" s="3" t="s">
        <v>25</v>
      </c>
      <c r="I77" s="3" t="s">
        <v>14</v>
      </c>
      <c r="J77" s="3" t="s">
        <v>15</v>
      </c>
    </row>
    <row r="78" spans="1:10" x14ac:dyDescent="0.25">
      <c r="A78" s="2">
        <v>46190</v>
      </c>
      <c r="B78" s="3" t="s">
        <v>27</v>
      </c>
      <c r="C78" s="3" t="s">
        <v>42</v>
      </c>
      <c r="D78" s="3" t="s">
        <v>12</v>
      </c>
      <c r="E78" s="3">
        <v>3</v>
      </c>
      <c r="F78" s="4">
        <f>IFERROR(VLOOKUP(C78,INVENTORY!$B:$E,4,FALSE),0)</f>
      </c>
      <c r="G78" s="4">
        <f>E78*F78</f>
      </c>
      <c r="H78" s="3" t="s">
        <v>13</v>
      </c>
      <c r="I78" s="3" t="s">
        <v>14</v>
      </c>
      <c r="J78" s="3" t="s">
        <v>15</v>
      </c>
    </row>
    <row r="79" spans="1:10" x14ac:dyDescent="0.25">
      <c r="A79" s="2">
        <v>46190</v>
      </c>
      <c r="B79" s="3" t="s">
        <v>27</v>
      </c>
      <c r="C79" s="3" t="s">
        <v>43</v>
      </c>
      <c r="D79" s="3" t="s">
        <v>12</v>
      </c>
      <c r="E79" s="3">
        <v>1</v>
      </c>
      <c r="F79" s="4">
        <f>IFERROR(VLOOKUP(C79,INVENTORY!$B:$E,4,FALSE),0)</f>
      </c>
      <c r="G79" s="4">
        <f>E79*F79</f>
      </c>
      <c r="H79" s="3" t="s">
        <v>17</v>
      </c>
      <c r="I79" s="3" t="s">
        <v>14</v>
      </c>
      <c r="J79" s="3" t="s">
        <v>15</v>
      </c>
    </row>
    <row r="80" spans="1:10" x14ac:dyDescent="0.25">
      <c r="A80" s="2">
        <v>46190</v>
      </c>
      <c r="B80" s="3" t="s">
        <v>27</v>
      </c>
      <c r="C80" s="3" t="s">
        <v>21</v>
      </c>
      <c r="D80" s="3" t="s">
        <v>12</v>
      </c>
      <c r="E80" s="3">
        <v>2</v>
      </c>
      <c r="F80" s="4">
        <f>IFERROR(VLOOKUP(C80,INVENTORY!$B:$E,4,FALSE),0)</f>
      </c>
      <c r="G80" s="4">
        <f>E80*F80</f>
      </c>
      <c r="H80" s="3" t="s">
        <v>19</v>
      </c>
      <c r="I80" s="3" t="s">
        <v>63</v>
      </c>
      <c r="J80" s="3" t="s">
        <v>15</v>
      </c>
    </row>
    <row r="81" spans="1:10" x14ac:dyDescent="0.25">
      <c r="A81" s="2">
        <v>46191</v>
      </c>
      <c r="B81" s="3" t="s">
        <v>35</v>
      </c>
      <c r="C81" s="3" t="s">
        <v>56</v>
      </c>
      <c r="D81" s="3" t="s">
        <v>34</v>
      </c>
      <c r="E81" s="3">
        <v>2</v>
      </c>
      <c r="F81" s="4">
        <f>IFERROR(VLOOKUP(C81,INVENTORY!$B:$E,4,FALSE),0)</f>
      </c>
      <c r="G81" s="4">
        <f>E81*F81</f>
      </c>
      <c r="H81" s="3" t="s">
        <v>25</v>
      </c>
      <c r="I81" s="3" t="s">
        <v>14</v>
      </c>
      <c r="J81" s="3" t="s">
        <v>15</v>
      </c>
    </row>
    <row r="82" spans="1:10" x14ac:dyDescent="0.25">
      <c r="A82" s="2">
        <v>46191</v>
      </c>
      <c r="B82" s="3" t="s">
        <v>35</v>
      </c>
      <c r="C82" s="3" t="s">
        <v>57</v>
      </c>
      <c r="D82" s="3" t="s">
        <v>12</v>
      </c>
      <c r="E82" s="3">
        <v>3</v>
      </c>
      <c r="F82" s="4">
        <f>IFERROR(VLOOKUP(C82,INVENTORY!$B:$E,4,FALSE),0)</f>
      </c>
      <c r="G82" s="4">
        <f>E82*F82</f>
      </c>
      <c r="H82" s="3" t="s">
        <v>13</v>
      </c>
      <c r="I82" s="3" t="s">
        <v>14</v>
      </c>
      <c r="J82" s="3" t="s">
        <v>15</v>
      </c>
    </row>
    <row r="83" spans="1:10" x14ac:dyDescent="0.25">
      <c r="A83" s="2">
        <v>46191</v>
      </c>
      <c r="B83" s="3" t="s">
        <v>35</v>
      </c>
      <c r="C83" s="3" t="s">
        <v>46</v>
      </c>
      <c r="D83" s="3" t="s">
        <v>12</v>
      </c>
      <c r="E83" s="3">
        <v>1</v>
      </c>
      <c r="F83" s="4">
        <f>IFERROR(VLOOKUP(C83,INVENTORY!$B:$E,4,FALSE),0)</f>
      </c>
      <c r="G83" s="4">
        <f>E83*F83</f>
      </c>
      <c r="H83" s="3" t="s">
        <v>17</v>
      </c>
      <c r="I83" s="3" t="s">
        <v>14</v>
      </c>
      <c r="J83" s="3" t="s">
        <v>15</v>
      </c>
    </row>
    <row r="84" spans="1:10" x14ac:dyDescent="0.25">
      <c r="A84" s="2">
        <v>46191</v>
      </c>
      <c r="B84" s="3" t="s">
        <v>35</v>
      </c>
      <c r="C84" s="3" t="s">
        <v>47</v>
      </c>
      <c r="D84" s="3" t="s">
        <v>23</v>
      </c>
      <c r="E84" s="3">
        <v>2</v>
      </c>
      <c r="F84" s="4">
        <f>IFERROR(VLOOKUP(C84,INVENTORY!$B:$E,4,FALSE),0)</f>
      </c>
      <c r="G84" s="4">
        <f>E84*F84</f>
      </c>
      <c r="H84" s="3" t="s">
        <v>19</v>
      </c>
      <c r="I84" s="3" t="s">
        <v>14</v>
      </c>
      <c r="J84" s="3" t="s">
        <v>15</v>
      </c>
    </row>
    <row r="85" spans="1:10" x14ac:dyDescent="0.25">
      <c r="A85" s="2">
        <v>46191</v>
      </c>
      <c r="B85" s="3" t="s">
        <v>35</v>
      </c>
      <c r="C85" s="3" t="s">
        <v>48</v>
      </c>
      <c r="D85" s="3" t="s">
        <v>23</v>
      </c>
      <c r="E85" s="3">
        <v>3</v>
      </c>
      <c r="F85" s="4">
        <f>IFERROR(VLOOKUP(C85,INVENTORY!$B:$E,4,FALSE),0)</f>
      </c>
      <c r="G85" s="4">
        <f>E85*F85</f>
      </c>
      <c r="H85" s="3" t="s">
        <v>13</v>
      </c>
      <c r="I85" s="3" t="s">
        <v>14</v>
      </c>
      <c r="J85" s="3" t="s">
        <v>15</v>
      </c>
    </row>
    <row r="86" spans="1:10" x14ac:dyDescent="0.25">
      <c r="A86" s="2">
        <v>46191</v>
      </c>
      <c r="B86" s="3" t="s">
        <v>35</v>
      </c>
      <c r="C86" s="3" t="s">
        <v>28</v>
      </c>
      <c r="D86" s="3" t="s">
        <v>23</v>
      </c>
      <c r="E86" s="3">
        <v>1</v>
      </c>
      <c r="F86" s="4">
        <f>IFERROR(VLOOKUP(C86,INVENTORY!$B:$E,4,FALSE),0)</f>
      </c>
      <c r="G86" s="4">
        <f>E86*F86</f>
      </c>
      <c r="H86" s="3" t="s">
        <v>25</v>
      </c>
      <c r="I86" s="3" t="s">
        <v>14</v>
      </c>
      <c r="J86" s="3" t="s">
        <v>15</v>
      </c>
    </row>
    <row r="87" spans="1:10" x14ac:dyDescent="0.25">
      <c r="A87" s="2">
        <v>46192</v>
      </c>
      <c r="B87" s="3" t="s">
        <v>40</v>
      </c>
      <c r="C87" s="3" t="s">
        <v>18</v>
      </c>
      <c r="D87" s="3" t="s">
        <v>12</v>
      </c>
      <c r="E87" s="3">
        <v>1</v>
      </c>
      <c r="F87" s="4">
        <f>IFERROR(VLOOKUP(C87,INVENTORY!$B:$E,4,FALSE),0)</f>
      </c>
      <c r="G87" s="4">
        <f>E87*F87</f>
      </c>
      <c r="H87" s="3" t="s">
        <v>17</v>
      </c>
      <c r="I87" s="3" t="s">
        <v>14</v>
      </c>
      <c r="J87" s="3" t="s">
        <v>15</v>
      </c>
    </row>
    <row r="88" spans="1:10" x14ac:dyDescent="0.25">
      <c r="A88" s="2">
        <v>46192</v>
      </c>
      <c r="B88" s="3" t="s">
        <v>40</v>
      </c>
      <c r="C88" s="3" t="s">
        <v>59</v>
      </c>
      <c r="D88" s="3" t="s">
        <v>23</v>
      </c>
      <c r="E88" s="3">
        <v>2</v>
      </c>
      <c r="F88" s="4">
        <f>IFERROR(VLOOKUP(C88,INVENTORY!$B:$E,4,FALSE),0)</f>
      </c>
      <c r="G88" s="4">
        <f>E88*F88</f>
      </c>
      <c r="H88" s="3" t="s">
        <v>19</v>
      </c>
      <c r="I88" s="3" t="s">
        <v>14</v>
      </c>
      <c r="J88" s="3" t="s">
        <v>15</v>
      </c>
    </row>
    <row r="89" spans="1:10" x14ac:dyDescent="0.25">
      <c r="A89" s="2">
        <v>46192</v>
      </c>
      <c r="B89" s="3" t="s">
        <v>40</v>
      </c>
      <c r="C89" s="3" t="s">
        <v>50</v>
      </c>
      <c r="D89" s="3" t="s">
        <v>23</v>
      </c>
      <c r="E89" s="3">
        <v>3</v>
      </c>
      <c r="F89" s="4">
        <f>IFERROR(VLOOKUP(C89,INVENTORY!$B:$E,4,FALSE),0)</f>
      </c>
      <c r="G89" s="4">
        <f>E89*F89</f>
      </c>
      <c r="H89" s="3" t="s">
        <v>13</v>
      </c>
      <c r="I89" s="3" t="s">
        <v>14</v>
      </c>
      <c r="J89" s="3" t="s">
        <v>15</v>
      </c>
    </row>
    <row r="90" spans="1:10" x14ac:dyDescent="0.25">
      <c r="A90" s="2">
        <v>46192</v>
      </c>
      <c r="B90" s="3" t="s">
        <v>40</v>
      </c>
      <c r="C90" s="3" t="s">
        <v>51</v>
      </c>
      <c r="D90" s="3" t="s">
        <v>23</v>
      </c>
      <c r="E90" s="3">
        <v>1</v>
      </c>
      <c r="F90" s="4">
        <f>IFERROR(VLOOKUP(C90,INVENTORY!$B:$E,4,FALSE),0)</f>
      </c>
      <c r="G90" s="4">
        <f>E90*F90</f>
      </c>
      <c r="H90" s="3" t="s">
        <v>25</v>
      </c>
      <c r="I90" s="3" t="s">
        <v>14</v>
      </c>
      <c r="J90" s="3" t="s">
        <v>15</v>
      </c>
    </row>
    <row r="91" spans="1:10" x14ac:dyDescent="0.25">
      <c r="A91" s="2">
        <v>46192</v>
      </c>
      <c r="B91" s="3" t="s">
        <v>40</v>
      </c>
      <c r="C91" s="3" t="s">
        <v>52</v>
      </c>
      <c r="D91" s="3" t="s">
        <v>31</v>
      </c>
      <c r="E91" s="3">
        <v>2</v>
      </c>
      <c r="F91" s="4">
        <f>IFERROR(VLOOKUP(C91,INVENTORY!$B:$E,4,FALSE),0)</f>
      </c>
      <c r="G91" s="4">
        <f>E91*F91</f>
      </c>
      <c r="H91" s="3" t="s">
        <v>13</v>
      </c>
      <c r="I91" s="3" t="s">
        <v>14</v>
      </c>
      <c r="J91" s="3" t="s">
        <v>15</v>
      </c>
    </row>
    <row r="92" spans="1:10" x14ac:dyDescent="0.25">
      <c r="A92" s="2">
        <v>46192</v>
      </c>
      <c r="B92" s="3" t="s">
        <v>40</v>
      </c>
      <c r="C92" s="3" t="s">
        <v>36</v>
      </c>
      <c r="D92" s="3" t="s">
        <v>31</v>
      </c>
      <c r="E92" s="3">
        <v>3</v>
      </c>
      <c r="F92" s="4">
        <f>IFERROR(VLOOKUP(C92,INVENTORY!$B:$E,4,FALSE),0)</f>
      </c>
      <c r="G92" s="4">
        <f>E92*F92</f>
      </c>
      <c r="H92" s="3" t="s">
        <v>17</v>
      </c>
      <c r="I92" s="3" t="s">
        <v>64</v>
      </c>
      <c r="J92" s="3" t="s">
        <v>15</v>
      </c>
    </row>
    <row r="93" spans="1:10" x14ac:dyDescent="0.25">
      <c r="A93" s="2">
        <v>46193</v>
      </c>
      <c r="B93" s="3" t="s">
        <v>45</v>
      </c>
      <c r="C93" s="3" t="s">
        <v>24</v>
      </c>
      <c r="D93" s="3" t="s">
        <v>23</v>
      </c>
      <c r="E93" s="3">
        <v>3</v>
      </c>
      <c r="F93" s="4">
        <f>IFERROR(VLOOKUP(C93,INVENTORY!$B:$E,4,FALSE),0)</f>
      </c>
      <c r="G93" s="4">
        <f>E93*F93</f>
      </c>
      <c r="H93" s="3" t="s">
        <v>13</v>
      </c>
      <c r="I93" s="3" t="s">
        <v>14</v>
      </c>
      <c r="J93" s="3" t="s">
        <v>15</v>
      </c>
    </row>
    <row r="94" spans="1:10" x14ac:dyDescent="0.25">
      <c r="A94" s="2">
        <v>46193</v>
      </c>
      <c r="B94" s="3" t="s">
        <v>45</v>
      </c>
      <c r="C94" s="3" t="s">
        <v>26</v>
      </c>
      <c r="D94" s="3" t="s">
        <v>23</v>
      </c>
      <c r="E94" s="3">
        <v>1</v>
      </c>
      <c r="F94" s="4">
        <f>IFERROR(VLOOKUP(C94,INVENTORY!$B:$E,4,FALSE),0)</f>
      </c>
      <c r="G94" s="4">
        <f>E94*F94</f>
      </c>
      <c r="H94" s="3" t="s">
        <v>25</v>
      </c>
      <c r="I94" s="3" t="s">
        <v>14</v>
      </c>
      <c r="J94" s="3" t="s">
        <v>15</v>
      </c>
    </row>
    <row r="95" spans="1:10" x14ac:dyDescent="0.25">
      <c r="A95" s="2">
        <v>46193</v>
      </c>
      <c r="B95" s="3" t="s">
        <v>45</v>
      </c>
      <c r="C95" s="3" t="s">
        <v>53</v>
      </c>
      <c r="D95" s="3" t="s">
        <v>31</v>
      </c>
      <c r="E95" s="3">
        <v>2</v>
      </c>
      <c r="F95" s="4">
        <f>IFERROR(VLOOKUP(C95,INVENTORY!$B:$E,4,FALSE),0)</f>
      </c>
      <c r="G95" s="4">
        <f>E95*F95</f>
      </c>
      <c r="H95" s="3" t="s">
        <v>13</v>
      </c>
      <c r="I95" s="3" t="s">
        <v>14</v>
      </c>
      <c r="J95" s="3" t="s">
        <v>15</v>
      </c>
    </row>
    <row r="96" spans="1:10" x14ac:dyDescent="0.25">
      <c r="A96" s="2">
        <v>46193</v>
      </c>
      <c r="B96" s="3" t="s">
        <v>45</v>
      </c>
      <c r="C96" s="3" t="s">
        <v>54</v>
      </c>
      <c r="D96" s="3" t="s">
        <v>31</v>
      </c>
      <c r="E96" s="3">
        <v>3</v>
      </c>
      <c r="F96" s="4">
        <f>IFERROR(VLOOKUP(C96,INVENTORY!$B:$E,4,FALSE),0)</f>
      </c>
      <c r="G96" s="4">
        <f>E96*F96</f>
      </c>
      <c r="H96" s="3" t="s">
        <v>17</v>
      </c>
      <c r="I96" s="3" t="s">
        <v>14</v>
      </c>
      <c r="J96" s="3" t="s">
        <v>15</v>
      </c>
    </row>
    <row r="97" spans="1:10" x14ac:dyDescent="0.25">
      <c r="A97" s="2">
        <v>46194</v>
      </c>
      <c r="B97" s="3" t="s">
        <v>49</v>
      </c>
      <c r="C97" s="3" t="s">
        <v>30</v>
      </c>
      <c r="D97" s="3" t="s">
        <v>31</v>
      </c>
      <c r="E97" s="3">
        <v>2</v>
      </c>
      <c r="F97" s="4">
        <f>IFERROR(VLOOKUP(C97,INVENTORY!$B:$E,4,FALSE),0)</f>
      </c>
      <c r="G97" s="4">
        <f>E97*F97</f>
      </c>
      <c r="H97" s="3" t="s">
        <v>13</v>
      </c>
      <c r="I97" s="3" t="s">
        <v>14</v>
      </c>
      <c r="J97" s="3" t="s">
        <v>15</v>
      </c>
    </row>
    <row r="98" spans="1:10" x14ac:dyDescent="0.25">
      <c r="A98" s="2">
        <v>46194</v>
      </c>
      <c r="B98" s="3" t="s">
        <v>49</v>
      </c>
      <c r="C98" s="3" t="s">
        <v>32</v>
      </c>
      <c r="D98" s="3" t="s">
        <v>31</v>
      </c>
      <c r="E98" s="3">
        <v>3</v>
      </c>
      <c r="F98" s="4">
        <f>IFERROR(VLOOKUP(C98,INVENTORY!$B:$E,4,FALSE),0)</f>
      </c>
      <c r="G98" s="4">
        <f>E98*F98</f>
      </c>
      <c r="H98" s="3" t="s">
        <v>17</v>
      </c>
      <c r="I98" s="3" t="s">
        <v>14</v>
      </c>
      <c r="J98" s="3" t="s">
        <v>15</v>
      </c>
    </row>
    <row r="99" spans="1:10" x14ac:dyDescent="0.25">
      <c r="A99" s="2">
        <v>46194</v>
      </c>
      <c r="B99" s="3" t="s">
        <v>49</v>
      </c>
      <c r="C99" s="3" t="s">
        <v>33</v>
      </c>
      <c r="D99" s="3" t="s">
        <v>34</v>
      </c>
      <c r="E99" s="3">
        <v>1</v>
      </c>
      <c r="F99" s="4">
        <f>IFERROR(VLOOKUP(C99,INVENTORY!$B:$E,4,FALSE),0)</f>
      </c>
      <c r="G99" s="4">
        <f>E99*F99</f>
      </c>
      <c r="H99" s="3" t="s">
        <v>19</v>
      </c>
      <c r="I99" s="3" t="s">
        <v>14</v>
      </c>
      <c r="J99" s="3" t="s">
        <v>15</v>
      </c>
    </row>
    <row r="100" spans="1:10" x14ac:dyDescent="0.25">
      <c r="A100" s="2">
        <v>46194</v>
      </c>
      <c r="B100" s="3" t="s">
        <v>49</v>
      </c>
      <c r="C100" s="3" t="s">
        <v>56</v>
      </c>
      <c r="D100" s="3" t="s">
        <v>34</v>
      </c>
      <c r="E100" s="3">
        <v>2</v>
      </c>
      <c r="F100" s="4">
        <f>IFERROR(VLOOKUP(C100,INVENTORY!$B:$E,4,FALSE),0)</f>
      </c>
      <c r="G100" s="4">
        <f>E100*F100</f>
      </c>
      <c r="H100" s="3" t="s">
        <v>13</v>
      </c>
      <c r="I100" s="3" t="s">
        <v>14</v>
      </c>
      <c r="J100" s="3" t="s">
        <v>15</v>
      </c>
    </row>
    <row r="101" spans="1:10" x14ac:dyDescent="0.25">
      <c r="A101" s="2">
        <v>46195</v>
      </c>
      <c r="B101" s="3" t="s">
        <v>10</v>
      </c>
      <c r="C101" s="3" t="s">
        <v>38</v>
      </c>
      <c r="D101" s="3" t="s">
        <v>34</v>
      </c>
      <c r="E101" s="3">
        <v>1</v>
      </c>
      <c r="F101" s="4">
        <f>IFERROR(VLOOKUP(C101,INVENTORY!$B:$E,4,FALSE),0)</f>
      </c>
      <c r="G101" s="4">
        <f>E101*F101</f>
      </c>
      <c r="H101" s="3" t="s">
        <v>19</v>
      </c>
      <c r="I101" s="3" t="s">
        <v>14</v>
      </c>
      <c r="J101" s="3" t="s">
        <v>15</v>
      </c>
    </row>
    <row r="102" spans="1:10" x14ac:dyDescent="0.25">
      <c r="A102" s="2">
        <v>46195</v>
      </c>
      <c r="B102" s="3" t="s">
        <v>10</v>
      </c>
      <c r="C102" s="3" t="s">
        <v>11</v>
      </c>
      <c r="D102" s="3" t="s">
        <v>12</v>
      </c>
      <c r="E102" s="3">
        <v>2</v>
      </c>
      <c r="F102" s="4">
        <f>IFERROR(VLOOKUP(C102,INVENTORY!$B:$E,4,FALSE),0)</f>
      </c>
      <c r="G102" s="4">
        <f>E102*F102</f>
      </c>
      <c r="H102" s="3" t="s">
        <v>13</v>
      </c>
      <c r="I102" s="3" t="s">
        <v>14</v>
      </c>
      <c r="J102" s="3" t="s">
        <v>15</v>
      </c>
    </row>
    <row r="103" spans="1:10" x14ac:dyDescent="0.25">
      <c r="A103" s="2">
        <v>46195</v>
      </c>
      <c r="B103" s="3" t="s">
        <v>10</v>
      </c>
      <c r="C103" s="3" t="s">
        <v>16</v>
      </c>
      <c r="D103" s="3" t="s">
        <v>12</v>
      </c>
      <c r="E103" s="3">
        <v>3</v>
      </c>
      <c r="F103" s="4">
        <f>IFERROR(VLOOKUP(C103,INVENTORY!$B:$E,4,FALSE),0)</f>
      </c>
      <c r="G103" s="4">
        <f>E103*F103</f>
      </c>
      <c r="H103" s="3" t="s">
        <v>25</v>
      </c>
      <c r="I103" s="3" t="s">
        <v>14</v>
      </c>
      <c r="J103" s="3" t="s">
        <v>15</v>
      </c>
    </row>
    <row r="104" spans="1:10" x14ac:dyDescent="0.25">
      <c r="A104" s="2">
        <v>46195</v>
      </c>
      <c r="B104" s="3" t="s">
        <v>10</v>
      </c>
      <c r="C104" s="3" t="s">
        <v>18</v>
      </c>
      <c r="D104" s="3" t="s">
        <v>12</v>
      </c>
      <c r="E104" s="3">
        <v>1</v>
      </c>
      <c r="F104" s="4">
        <f>IFERROR(VLOOKUP(C104,INVENTORY!$B:$E,4,FALSE),0)</f>
      </c>
      <c r="G104" s="4">
        <f>E104*F104</f>
      </c>
      <c r="H104" s="3" t="s">
        <v>13</v>
      </c>
      <c r="I104" s="3" t="s">
        <v>14</v>
      </c>
      <c r="J104" s="3" t="s">
        <v>15</v>
      </c>
    </row>
    <row r="105" spans="1:10" x14ac:dyDescent="0.25">
      <c r="A105" s="2">
        <v>46195</v>
      </c>
      <c r="B105" s="3" t="s">
        <v>10</v>
      </c>
      <c r="C105" s="3" t="s">
        <v>59</v>
      </c>
      <c r="D105" s="3" t="s">
        <v>23</v>
      </c>
      <c r="E105" s="3">
        <v>2</v>
      </c>
      <c r="F105" s="4">
        <f>IFERROR(VLOOKUP(C105,INVENTORY!$B:$E,4,FALSE),0)</f>
      </c>
      <c r="G105" s="4">
        <f>E105*F105</f>
      </c>
      <c r="H105" s="3" t="s">
        <v>17</v>
      </c>
      <c r="I105" s="3" t="s">
        <v>65</v>
      </c>
      <c r="J105" s="3" t="s">
        <v>15</v>
      </c>
    </row>
    <row r="106" spans="1:10" x14ac:dyDescent="0.25">
      <c r="A106" s="2">
        <v>46196</v>
      </c>
      <c r="B106" s="3" t="s">
        <v>20</v>
      </c>
      <c r="C106" s="3" t="s">
        <v>43</v>
      </c>
      <c r="D106" s="3" t="s">
        <v>12</v>
      </c>
      <c r="E106" s="3">
        <v>3</v>
      </c>
      <c r="F106" s="4">
        <f>IFERROR(VLOOKUP(C106,INVENTORY!$B:$E,4,FALSE),0)</f>
      </c>
      <c r="G106" s="4">
        <f>E106*F106</f>
      </c>
      <c r="H106" s="3" t="s">
        <v>25</v>
      </c>
      <c r="I106" s="3" t="s">
        <v>14</v>
      </c>
      <c r="J106" s="3" t="s">
        <v>15</v>
      </c>
    </row>
    <row r="107" spans="1:10" x14ac:dyDescent="0.25">
      <c r="A107" s="2">
        <v>46196</v>
      </c>
      <c r="B107" s="3" t="s">
        <v>20</v>
      </c>
      <c r="C107" s="3" t="s">
        <v>21</v>
      </c>
      <c r="D107" s="3" t="s">
        <v>12</v>
      </c>
      <c r="E107" s="3">
        <v>1</v>
      </c>
      <c r="F107" s="4">
        <f>IFERROR(VLOOKUP(C107,INVENTORY!$B:$E,4,FALSE),0)</f>
      </c>
      <c r="G107" s="4">
        <f>E107*F107</f>
      </c>
      <c r="H107" s="3" t="s">
        <v>13</v>
      </c>
      <c r="I107" s="3" t="s">
        <v>14</v>
      </c>
      <c r="J107" s="3" t="s">
        <v>15</v>
      </c>
    </row>
    <row r="108" spans="1:10" x14ac:dyDescent="0.25">
      <c r="A108" s="2">
        <v>46196</v>
      </c>
      <c r="B108" s="3" t="s">
        <v>20</v>
      </c>
      <c r="C108" s="3" t="s">
        <v>22</v>
      </c>
      <c r="D108" s="3" t="s">
        <v>23</v>
      </c>
      <c r="E108" s="3">
        <v>2</v>
      </c>
      <c r="F108" s="4">
        <f>IFERROR(VLOOKUP(C108,INVENTORY!$B:$E,4,FALSE),0)</f>
      </c>
      <c r="G108" s="4">
        <f>E108*F108</f>
      </c>
      <c r="H108" s="3" t="s">
        <v>17</v>
      </c>
      <c r="I108" s="3" t="s">
        <v>14</v>
      </c>
      <c r="J108" s="3" t="s">
        <v>15</v>
      </c>
    </row>
    <row r="109" spans="1:10" x14ac:dyDescent="0.25">
      <c r="A109" s="2">
        <v>46196</v>
      </c>
      <c r="B109" s="3" t="s">
        <v>20</v>
      </c>
      <c r="C109" s="3" t="s">
        <v>24</v>
      </c>
      <c r="D109" s="3" t="s">
        <v>23</v>
      </c>
      <c r="E109" s="3">
        <v>3</v>
      </c>
      <c r="F109" s="4">
        <f>IFERROR(VLOOKUP(C109,INVENTORY!$B:$E,4,FALSE),0)</f>
      </c>
      <c r="G109" s="4">
        <f>E109*F109</f>
      </c>
      <c r="H109" s="3" t="s">
        <v>19</v>
      </c>
      <c r="I109" s="3" t="s">
        <v>14</v>
      </c>
      <c r="J109" s="3" t="s">
        <v>15</v>
      </c>
    </row>
    <row r="110" spans="1:10" x14ac:dyDescent="0.25">
      <c r="A110" s="2">
        <v>46196</v>
      </c>
      <c r="B110" s="3" t="s">
        <v>20</v>
      </c>
      <c r="C110" s="3" t="s">
        <v>26</v>
      </c>
      <c r="D110" s="3" t="s">
        <v>23</v>
      </c>
      <c r="E110" s="3">
        <v>1</v>
      </c>
      <c r="F110" s="4">
        <f>IFERROR(VLOOKUP(C110,INVENTORY!$B:$E,4,FALSE),0)</f>
      </c>
      <c r="G110" s="4">
        <f>E110*F110</f>
      </c>
      <c r="H110" s="3" t="s">
        <v>13</v>
      </c>
      <c r="I110" s="3" t="s">
        <v>14</v>
      </c>
      <c r="J110" s="3" t="s">
        <v>15</v>
      </c>
    </row>
    <row r="111" spans="1:10" x14ac:dyDescent="0.25">
      <c r="A111" s="2">
        <v>46196</v>
      </c>
      <c r="B111" s="3" t="s">
        <v>20</v>
      </c>
      <c r="C111" s="3" t="s">
        <v>53</v>
      </c>
      <c r="D111" s="3" t="s">
        <v>31</v>
      </c>
      <c r="E111" s="3">
        <v>2</v>
      </c>
      <c r="F111" s="4">
        <f>IFERROR(VLOOKUP(C111,INVENTORY!$B:$E,4,FALSE),0)</f>
      </c>
      <c r="G111" s="4">
        <f>E111*F111</f>
      </c>
      <c r="H111" s="3" t="s">
        <v>25</v>
      </c>
      <c r="I111" s="3" t="s">
        <v>14</v>
      </c>
      <c r="J111" s="3" t="s">
        <v>15</v>
      </c>
    </row>
    <row r="112" spans="1:10" x14ac:dyDescent="0.25">
      <c r="A112" s="2">
        <v>46197</v>
      </c>
      <c r="B112" s="3" t="s">
        <v>27</v>
      </c>
      <c r="C112" s="3" t="s">
        <v>48</v>
      </c>
      <c r="D112" s="3" t="s">
        <v>23</v>
      </c>
      <c r="E112" s="3">
        <v>2</v>
      </c>
      <c r="F112" s="4">
        <f>IFERROR(VLOOKUP(C112,INVENTORY!$B:$E,4,FALSE),0)</f>
      </c>
      <c r="G112" s="4">
        <f>E112*F112</f>
      </c>
      <c r="H112" s="3" t="s">
        <v>17</v>
      </c>
      <c r="I112" s="3" t="s">
        <v>14</v>
      </c>
      <c r="J112" s="3" t="s">
        <v>15</v>
      </c>
    </row>
    <row r="113" spans="1:10" x14ac:dyDescent="0.25">
      <c r="A113" s="2">
        <v>46197</v>
      </c>
      <c r="B113" s="3" t="s">
        <v>27</v>
      </c>
      <c r="C113" s="3" t="s">
        <v>28</v>
      </c>
      <c r="D113" s="3" t="s">
        <v>23</v>
      </c>
      <c r="E113" s="3">
        <v>3</v>
      </c>
      <c r="F113" s="4">
        <f>IFERROR(VLOOKUP(C113,INVENTORY!$B:$E,4,FALSE),0)</f>
      </c>
      <c r="G113" s="4">
        <f>E113*F113</f>
      </c>
      <c r="H113" s="3" t="s">
        <v>19</v>
      </c>
      <c r="I113" s="3" t="s">
        <v>14</v>
      </c>
      <c r="J113" s="3" t="s">
        <v>15</v>
      </c>
    </row>
    <row r="114" spans="1:10" x14ac:dyDescent="0.25">
      <c r="A114" s="2">
        <v>46197</v>
      </c>
      <c r="B114" s="3" t="s">
        <v>27</v>
      </c>
      <c r="C114" s="3" t="s">
        <v>29</v>
      </c>
      <c r="D114" s="3" t="s">
        <v>23</v>
      </c>
      <c r="E114" s="3">
        <v>1</v>
      </c>
      <c r="F114" s="4">
        <f>IFERROR(VLOOKUP(C114,INVENTORY!$B:$E,4,FALSE),0)</f>
      </c>
      <c r="G114" s="4">
        <f>E114*F114</f>
      </c>
      <c r="H114" s="3" t="s">
        <v>13</v>
      </c>
      <c r="I114" s="3" t="s">
        <v>14</v>
      </c>
      <c r="J114" s="3" t="s">
        <v>15</v>
      </c>
    </row>
    <row r="115" spans="1:10" x14ac:dyDescent="0.25">
      <c r="A115" s="2">
        <v>46197</v>
      </c>
      <c r="B115" s="3" t="s">
        <v>27</v>
      </c>
      <c r="C115" s="3" t="s">
        <v>30</v>
      </c>
      <c r="D115" s="3" t="s">
        <v>31</v>
      </c>
      <c r="E115" s="3">
        <v>2</v>
      </c>
      <c r="F115" s="4">
        <f>IFERROR(VLOOKUP(C115,INVENTORY!$B:$E,4,FALSE),0)</f>
      </c>
      <c r="G115" s="4">
        <f>E115*F115</f>
      </c>
      <c r="H115" s="3" t="s">
        <v>25</v>
      </c>
      <c r="I115" s="3" t="s">
        <v>14</v>
      </c>
      <c r="J115" s="3" t="s">
        <v>15</v>
      </c>
    </row>
    <row r="116" spans="1:10" x14ac:dyDescent="0.25">
      <c r="A116" s="2">
        <v>46197</v>
      </c>
      <c r="B116" s="3" t="s">
        <v>27</v>
      </c>
      <c r="C116" s="3" t="s">
        <v>32</v>
      </c>
      <c r="D116" s="3" t="s">
        <v>31</v>
      </c>
      <c r="E116" s="3">
        <v>3</v>
      </c>
      <c r="F116" s="4">
        <f>IFERROR(VLOOKUP(C116,INVENTORY!$B:$E,4,FALSE),0)</f>
      </c>
      <c r="G116" s="4">
        <f>E116*F116</f>
      </c>
      <c r="H116" s="3" t="s">
        <v>13</v>
      </c>
      <c r="I116" s="3" t="s">
        <v>14</v>
      </c>
      <c r="J116" s="3" t="s">
        <v>15</v>
      </c>
    </row>
    <row r="117" spans="1:10" x14ac:dyDescent="0.25">
      <c r="A117" s="2">
        <v>46197</v>
      </c>
      <c r="B117" s="3" t="s">
        <v>27</v>
      </c>
      <c r="C117" s="3" t="s">
        <v>33</v>
      </c>
      <c r="D117" s="3" t="s">
        <v>34</v>
      </c>
      <c r="E117" s="3">
        <v>1</v>
      </c>
      <c r="F117" s="4">
        <f>IFERROR(VLOOKUP(C117,INVENTORY!$B:$E,4,FALSE),0)</f>
      </c>
      <c r="G117" s="4">
        <f>E117*F117</f>
      </c>
      <c r="H117" s="3" t="s">
        <v>17</v>
      </c>
      <c r="I117" s="3" t="s">
        <v>66</v>
      </c>
      <c r="J117" s="3" t="s">
        <v>15</v>
      </c>
    </row>
    <row r="118" spans="1:10" x14ac:dyDescent="0.25">
      <c r="A118" s="2">
        <v>46198</v>
      </c>
      <c r="B118" s="3" t="s">
        <v>35</v>
      </c>
      <c r="C118" s="3" t="s">
        <v>52</v>
      </c>
      <c r="D118" s="3" t="s">
        <v>31</v>
      </c>
      <c r="E118" s="3">
        <v>1</v>
      </c>
      <c r="F118" s="4">
        <f>IFERROR(VLOOKUP(C118,INVENTORY!$B:$E,4,FALSE),0)</f>
      </c>
      <c r="G118" s="4">
        <f>E118*F118</f>
      </c>
      <c r="H118" s="3" t="s">
        <v>13</v>
      </c>
      <c r="I118" s="3" t="s">
        <v>14</v>
      </c>
      <c r="J118" s="3" t="s">
        <v>15</v>
      </c>
    </row>
    <row r="119" spans="1:10" x14ac:dyDescent="0.25">
      <c r="A119" s="2">
        <v>46198</v>
      </c>
      <c r="B119" s="3" t="s">
        <v>35</v>
      </c>
      <c r="C119" s="3" t="s">
        <v>36</v>
      </c>
      <c r="D119" s="3" t="s">
        <v>31</v>
      </c>
      <c r="E119" s="3">
        <v>2</v>
      </c>
      <c r="F119" s="4">
        <f>IFERROR(VLOOKUP(C119,INVENTORY!$B:$E,4,FALSE),0)</f>
      </c>
      <c r="G119" s="4">
        <f>E119*F119</f>
      </c>
      <c r="H119" s="3" t="s">
        <v>25</v>
      </c>
      <c r="I119" s="3" t="s">
        <v>14</v>
      </c>
      <c r="J119" s="3" t="s">
        <v>15</v>
      </c>
    </row>
    <row r="120" spans="1:10" x14ac:dyDescent="0.25">
      <c r="A120" s="2">
        <v>46198</v>
      </c>
      <c r="B120" s="3" t="s">
        <v>35</v>
      </c>
      <c r="C120" s="3" t="s">
        <v>37</v>
      </c>
      <c r="D120" s="3" t="s">
        <v>31</v>
      </c>
      <c r="E120" s="3">
        <v>3</v>
      </c>
      <c r="F120" s="4">
        <f>IFERROR(VLOOKUP(C120,INVENTORY!$B:$E,4,FALSE),0)</f>
      </c>
      <c r="G120" s="4">
        <f>E120*F120</f>
      </c>
      <c r="H120" s="3" t="s">
        <v>13</v>
      </c>
      <c r="I120" s="3" t="s">
        <v>14</v>
      </c>
      <c r="J120" s="3" t="s">
        <v>15</v>
      </c>
    </row>
    <row r="121" spans="1:10" x14ac:dyDescent="0.25">
      <c r="A121" s="2">
        <v>46198</v>
      </c>
      <c r="B121" s="3" t="s">
        <v>35</v>
      </c>
      <c r="C121" s="3" t="s">
        <v>38</v>
      </c>
      <c r="D121" s="3" t="s">
        <v>34</v>
      </c>
      <c r="E121" s="3">
        <v>1</v>
      </c>
      <c r="F121" s="4">
        <f>IFERROR(VLOOKUP(C121,INVENTORY!$B:$E,4,FALSE),0)</f>
      </c>
      <c r="G121" s="4">
        <f>E121*F121</f>
      </c>
      <c r="H121" s="3" t="s">
        <v>17</v>
      </c>
      <c r="I121" s="3" t="s">
        <v>14</v>
      </c>
      <c r="J121" s="3" t="s">
        <v>15</v>
      </c>
    </row>
    <row r="122" spans="1:10" x14ac:dyDescent="0.25">
      <c r="A122" s="2">
        <v>46198</v>
      </c>
      <c r="B122" s="3" t="s">
        <v>35</v>
      </c>
      <c r="C122" s="3" t="s">
        <v>11</v>
      </c>
      <c r="D122" s="3" t="s">
        <v>12</v>
      </c>
      <c r="E122" s="3">
        <v>2</v>
      </c>
      <c r="F122" s="4">
        <f>IFERROR(VLOOKUP(C122,INVENTORY!$B:$E,4,FALSE),0)</f>
      </c>
      <c r="G122" s="4">
        <f>E122*F122</f>
      </c>
      <c r="H122" s="3" t="s">
        <v>19</v>
      </c>
      <c r="I122" s="3" t="s">
        <v>14</v>
      </c>
      <c r="J122" s="3" t="s">
        <v>15</v>
      </c>
    </row>
    <row r="123" spans="1:10" x14ac:dyDescent="0.25">
      <c r="A123" s="2">
        <v>46198</v>
      </c>
      <c r="B123" s="3" t="s">
        <v>35</v>
      </c>
      <c r="C123" s="3" t="s">
        <v>16</v>
      </c>
      <c r="D123" s="3" t="s">
        <v>12</v>
      </c>
      <c r="E123" s="3">
        <v>3</v>
      </c>
      <c r="F123" s="4">
        <f>IFERROR(VLOOKUP(C123,INVENTORY!$B:$E,4,FALSE),0)</f>
      </c>
      <c r="G123" s="4">
        <f>E123*F123</f>
      </c>
      <c r="H123" s="3" t="s">
        <v>13</v>
      </c>
      <c r="I123" s="3" t="s">
        <v>14</v>
      </c>
      <c r="J123" s="3" t="s">
        <v>15</v>
      </c>
    </row>
    <row r="124" spans="1:10" x14ac:dyDescent="0.25">
      <c r="A124" s="2">
        <v>46199</v>
      </c>
      <c r="B124" s="3" t="s">
        <v>40</v>
      </c>
      <c r="C124" s="3" t="s">
        <v>55</v>
      </c>
      <c r="D124" s="3" t="s">
        <v>31</v>
      </c>
      <c r="E124" s="3">
        <v>3</v>
      </c>
      <c r="F124" s="4">
        <f>IFERROR(VLOOKUP(C124,INVENTORY!$B:$E,4,FALSE),0)</f>
      </c>
      <c r="G124" s="4">
        <f>E124*F124</f>
      </c>
      <c r="H124" s="3" t="s">
        <v>13</v>
      </c>
      <c r="I124" s="3" t="s">
        <v>14</v>
      </c>
      <c r="J124" s="3" t="s">
        <v>15</v>
      </c>
    </row>
    <row r="125" spans="1:10" x14ac:dyDescent="0.25">
      <c r="A125" s="2">
        <v>46199</v>
      </c>
      <c r="B125" s="3" t="s">
        <v>40</v>
      </c>
      <c r="C125" s="3" t="s">
        <v>41</v>
      </c>
      <c r="D125" s="3" t="s">
        <v>34</v>
      </c>
      <c r="E125" s="3">
        <v>1</v>
      </c>
      <c r="F125" s="4">
        <f>IFERROR(VLOOKUP(C125,INVENTORY!$B:$E,4,FALSE),0)</f>
      </c>
      <c r="G125" s="4">
        <f>E125*F125</f>
      </c>
      <c r="H125" s="3" t="s">
        <v>17</v>
      </c>
      <c r="I125" s="3" t="s">
        <v>14</v>
      </c>
      <c r="J125" s="3" t="s">
        <v>15</v>
      </c>
    </row>
    <row r="126" spans="1:10" x14ac:dyDescent="0.25">
      <c r="A126" s="2">
        <v>46199</v>
      </c>
      <c r="B126" s="3" t="s">
        <v>40</v>
      </c>
      <c r="C126" s="3" t="s">
        <v>42</v>
      </c>
      <c r="D126" s="3" t="s">
        <v>12</v>
      </c>
      <c r="E126" s="3">
        <v>2</v>
      </c>
      <c r="F126" s="4">
        <f>IFERROR(VLOOKUP(C126,INVENTORY!$B:$E,4,FALSE),0)</f>
      </c>
      <c r="G126" s="4">
        <f>E126*F126</f>
      </c>
      <c r="H126" s="3" t="s">
        <v>19</v>
      </c>
      <c r="I126" s="3" t="s">
        <v>14</v>
      </c>
      <c r="J126" s="3" t="s">
        <v>15</v>
      </c>
    </row>
    <row r="127" spans="1:10" x14ac:dyDescent="0.25">
      <c r="A127" s="2">
        <v>46199</v>
      </c>
      <c r="B127" s="3" t="s">
        <v>40</v>
      </c>
      <c r="C127" s="3" t="s">
        <v>43</v>
      </c>
      <c r="D127" s="3" t="s">
        <v>12</v>
      </c>
      <c r="E127" s="3">
        <v>3</v>
      </c>
      <c r="F127" s="4">
        <f>IFERROR(VLOOKUP(C127,INVENTORY!$B:$E,4,FALSE),0)</f>
      </c>
      <c r="G127" s="4">
        <f>E127*F127</f>
      </c>
      <c r="H127" s="3" t="s">
        <v>13</v>
      </c>
      <c r="I127" s="3" t="s">
        <v>14</v>
      </c>
      <c r="J127" s="3" t="s">
        <v>15</v>
      </c>
    </row>
    <row r="128" spans="1:10" x14ac:dyDescent="0.25">
      <c r="A128" s="2">
        <v>46200</v>
      </c>
      <c r="B128" s="3" t="s">
        <v>45</v>
      </c>
      <c r="C128" s="3" t="s">
        <v>57</v>
      </c>
      <c r="D128" s="3" t="s">
        <v>12</v>
      </c>
      <c r="E128" s="3">
        <v>2</v>
      </c>
      <c r="F128" s="4">
        <f>IFERROR(VLOOKUP(C128,INVENTORY!$B:$E,4,FALSE),0)</f>
      </c>
      <c r="G128" s="4">
        <f>E128*F128</f>
      </c>
      <c r="H128" s="3" t="s">
        <v>19</v>
      </c>
      <c r="I128" s="3" t="s">
        <v>14</v>
      </c>
      <c r="J128" s="3" t="s">
        <v>15</v>
      </c>
    </row>
    <row r="129" spans="1:10" x14ac:dyDescent="0.25">
      <c r="A129" s="2">
        <v>46200</v>
      </c>
      <c r="B129" s="3" t="s">
        <v>45</v>
      </c>
      <c r="C129" s="3" t="s">
        <v>46</v>
      </c>
      <c r="D129" s="3" t="s">
        <v>12</v>
      </c>
      <c r="E129" s="3">
        <v>3</v>
      </c>
      <c r="F129" s="4">
        <f>IFERROR(VLOOKUP(C129,INVENTORY!$B:$E,4,FALSE),0)</f>
      </c>
      <c r="G129" s="4">
        <f>E129*F129</f>
      </c>
      <c r="H129" s="3" t="s">
        <v>13</v>
      </c>
      <c r="I129" s="3" t="s">
        <v>14</v>
      </c>
      <c r="J129" s="3" t="s">
        <v>15</v>
      </c>
    </row>
    <row r="130" spans="1:10" x14ac:dyDescent="0.25">
      <c r="A130" s="2">
        <v>46200</v>
      </c>
      <c r="B130" s="3" t="s">
        <v>45</v>
      </c>
      <c r="C130" s="3" t="s">
        <v>47</v>
      </c>
      <c r="D130" s="3" t="s">
        <v>23</v>
      </c>
      <c r="E130" s="3">
        <v>1</v>
      </c>
      <c r="F130" s="4">
        <f>IFERROR(VLOOKUP(C130,INVENTORY!$B:$E,4,FALSE),0)</f>
      </c>
      <c r="G130" s="4">
        <f>E130*F130</f>
      </c>
      <c r="H130" s="3" t="s">
        <v>25</v>
      </c>
      <c r="I130" s="3" t="s">
        <v>14</v>
      </c>
      <c r="J130" s="3" t="s">
        <v>15</v>
      </c>
    </row>
    <row r="131" spans="1:10" x14ac:dyDescent="0.25">
      <c r="A131" s="2">
        <v>46200</v>
      </c>
      <c r="B131" s="3" t="s">
        <v>45</v>
      </c>
      <c r="C131" s="3" t="s">
        <v>48</v>
      </c>
      <c r="D131" s="3" t="s">
        <v>23</v>
      </c>
      <c r="E131" s="3">
        <v>2</v>
      </c>
      <c r="F131" s="4">
        <f>IFERROR(VLOOKUP(C131,INVENTORY!$B:$E,4,FALSE),0)</f>
      </c>
      <c r="G131" s="4">
        <f>E131*F131</f>
      </c>
      <c r="H131" s="3" t="s">
        <v>13</v>
      </c>
      <c r="I131" s="3" t="s">
        <v>14</v>
      </c>
      <c r="J131" s="3" t="s">
        <v>15</v>
      </c>
    </row>
    <row r="132" spans="1:10" x14ac:dyDescent="0.25">
      <c r="A132" s="2">
        <v>46200</v>
      </c>
      <c r="B132" s="3" t="s">
        <v>45</v>
      </c>
      <c r="C132" s="3" t="s">
        <v>28</v>
      </c>
      <c r="D132" s="3" t="s">
        <v>23</v>
      </c>
      <c r="E132" s="3">
        <v>3</v>
      </c>
      <c r="F132" s="4">
        <f>IFERROR(VLOOKUP(C132,INVENTORY!$B:$E,4,FALSE),0)</f>
      </c>
      <c r="G132" s="4">
        <f>E132*F132</f>
      </c>
      <c r="H132" s="3" t="s">
        <v>17</v>
      </c>
      <c r="I132" s="3" t="s">
        <v>14</v>
      </c>
      <c r="J132" s="3" t="s">
        <v>15</v>
      </c>
    </row>
    <row r="133" spans="1:10" x14ac:dyDescent="0.25">
      <c r="A133" s="2">
        <v>46200</v>
      </c>
      <c r="B133" s="3" t="s">
        <v>45</v>
      </c>
      <c r="C133" s="3" t="s">
        <v>29</v>
      </c>
      <c r="D133" s="3" t="s">
        <v>23</v>
      </c>
      <c r="E133" s="3">
        <v>1</v>
      </c>
      <c r="F133" s="4">
        <f>IFERROR(VLOOKUP(C133,INVENTORY!$B:$E,4,FALSE),0)</f>
      </c>
      <c r="G133" s="4">
        <f>E133*F133</f>
      </c>
      <c r="H133" s="3" t="s">
        <v>19</v>
      </c>
      <c r="I133" s="3" t="s">
        <v>67</v>
      </c>
      <c r="J133" s="3" t="s">
        <v>15</v>
      </c>
    </row>
    <row r="134" spans="1:10" x14ac:dyDescent="0.25">
      <c r="A134" s="2">
        <v>46201</v>
      </c>
      <c r="B134" s="3" t="s">
        <v>49</v>
      </c>
      <c r="C134" s="3" t="s">
        <v>59</v>
      </c>
      <c r="D134" s="3" t="s">
        <v>23</v>
      </c>
      <c r="E134" s="3">
        <v>1</v>
      </c>
      <c r="F134" s="4">
        <f>IFERROR(VLOOKUP(C134,INVENTORY!$B:$E,4,FALSE),0)</f>
      </c>
      <c r="G134" s="4">
        <f>E134*F134</f>
      </c>
      <c r="H134" s="3" t="s">
        <v>25</v>
      </c>
      <c r="I134" s="3" t="s">
        <v>14</v>
      </c>
      <c r="J134" s="3" t="s">
        <v>15</v>
      </c>
    </row>
    <row r="135" spans="1:10" x14ac:dyDescent="0.25">
      <c r="A135" s="2">
        <v>46201</v>
      </c>
      <c r="B135" s="3" t="s">
        <v>49</v>
      </c>
      <c r="C135" s="3" t="s">
        <v>50</v>
      </c>
      <c r="D135" s="3" t="s">
        <v>23</v>
      </c>
      <c r="E135" s="3">
        <v>2</v>
      </c>
      <c r="F135" s="4">
        <f>IFERROR(VLOOKUP(C135,INVENTORY!$B:$E,4,FALSE),0)</f>
      </c>
      <c r="G135" s="4">
        <f>E135*F135</f>
      </c>
      <c r="H135" s="3" t="s">
        <v>13</v>
      </c>
      <c r="I135" s="3" t="s">
        <v>14</v>
      </c>
      <c r="J135" s="3" t="s">
        <v>15</v>
      </c>
    </row>
    <row r="136" spans="1:10" x14ac:dyDescent="0.25">
      <c r="A136" s="2">
        <v>46201</v>
      </c>
      <c r="B136" s="3" t="s">
        <v>49</v>
      </c>
      <c r="C136" s="3" t="s">
        <v>51</v>
      </c>
      <c r="D136" s="3" t="s">
        <v>23</v>
      </c>
      <c r="E136" s="3">
        <v>3</v>
      </c>
      <c r="F136" s="4">
        <f>IFERROR(VLOOKUP(C136,INVENTORY!$B:$E,4,FALSE),0)</f>
      </c>
      <c r="G136" s="4">
        <f>E136*F136</f>
      </c>
      <c r="H136" s="3" t="s">
        <v>17</v>
      </c>
      <c r="I136" s="3" t="s">
        <v>14</v>
      </c>
      <c r="J136" s="3" t="s">
        <v>15</v>
      </c>
    </row>
    <row r="137" spans="1:10" x14ac:dyDescent="0.25">
      <c r="A137" s="2">
        <v>46201</v>
      </c>
      <c r="B137" s="3" t="s">
        <v>49</v>
      </c>
      <c r="C137" s="3" t="s">
        <v>52</v>
      </c>
      <c r="D137" s="3" t="s">
        <v>31</v>
      </c>
      <c r="E137" s="3">
        <v>1</v>
      </c>
      <c r="F137" s="4">
        <f>IFERROR(VLOOKUP(C137,INVENTORY!$B:$E,4,FALSE),0)</f>
      </c>
      <c r="G137" s="4">
        <f>E137*F137</f>
      </c>
      <c r="H137" s="3" t="s">
        <v>19</v>
      </c>
      <c r="I137" s="3" t="s">
        <v>14</v>
      </c>
      <c r="J137" s="3" t="s">
        <v>15</v>
      </c>
    </row>
    <row r="138" spans="1:10" x14ac:dyDescent="0.25">
      <c r="A138" s="2">
        <v>46201</v>
      </c>
      <c r="B138" s="3" t="s">
        <v>49</v>
      </c>
      <c r="C138" s="3" t="s">
        <v>36</v>
      </c>
      <c r="D138" s="3" t="s">
        <v>31</v>
      </c>
      <c r="E138" s="3">
        <v>2</v>
      </c>
      <c r="F138" s="4">
        <f>IFERROR(VLOOKUP(C138,INVENTORY!$B:$E,4,FALSE),0)</f>
      </c>
      <c r="G138" s="4">
        <f>E138*F138</f>
      </c>
      <c r="H138" s="3" t="s">
        <v>13</v>
      </c>
      <c r="I138" s="3" t="s">
        <v>14</v>
      </c>
      <c r="J138" s="3" t="s">
        <v>15</v>
      </c>
    </row>
    <row r="139" spans="1:10" x14ac:dyDescent="0.25">
      <c r="A139" s="2">
        <v>46201</v>
      </c>
      <c r="B139" s="3" t="s">
        <v>49</v>
      </c>
      <c r="C139" s="3" t="s">
        <v>37</v>
      </c>
      <c r="D139" s="3" t="s">
        <v>31</v>
      </c>
      <c r="E139" s="3">
        <v>3</v>
      </c>
      <c r="F139" s="4">
        <f>IFERROR(VLOOKUP(C139,INVENTORY!$B:$E,4,FALSE),0)</f>
      </c>
      <c r="G139" s="4">
        <f>E139*F139</f>
      </c>
      <c r="H139" s="3" t="s">
        <v>25</v>
      </c>
      <c r="I139" s="3" t="s">
        <v>68</v>
      </c>
      <c r="J139" s="3" t="s">
        <v>15</v>
      </c>
    </row>
    <row r="141" spans="1:9" x14ac:dyDescent="0.25">
      <c r="A141" s="5" t="s">
        <v>69</v>
      </c>
      <c r="E141" s="6">
        <f>SUM(E2:E139)</f>
      </c>
      <c r="G141" s="7">
        <f>SUM(G2:G139)</f>
      </c>
      <c r="I141" s="7">
        <f>IFERROR(SUM(G2:G139)/SUM(E2:E139),0)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FormatPr defaultRowHeight="15" outlineLevelRow="0" outlineLevelCol="0" x14ac:dyDescent="55"/>
  <sheetData>
    <row r="1" spans="1:2" x14ac:dyDescent="0.25">
      <c r="A1" t="s">
        <v>3</v>
      </c>
      <c r="B1" t="s">
        <v>70</v>
      </c>
    </row>
    <row r="2" spans="1:2" x14ac:dyDescent="0.25">
      <c r="A2" t="s">
        <v>12</v>
      </c>
      <c r="B2">
        <v>750</v>
      </c>
    </row>
    <row r="3" spans="1:2" x14ac:dyDescent="0.25">
      <c r="A3" t="s">
        <v>23</v>
      </c>
      <c r="B3">
        <v>319</v>
      </c>
    </row>
    <row r="4" spans="1:2" x14ac:dyDescent="0.25">
      <c r="A4" t="s">
        <v>31</v>
      </c>
      <c r="B4">
        <v>130</v>
      </c>
    </row>
    <row r="5" spans="1:2" x14ac:dyDescent="0.25">
      <c r="A5" t="s">
        <v>34</v>
      </c>
      <c r="B5">
        <v>1125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2" width="14" customWidth="1"/>
    <col min="3" max="7" width="16" customWidth="1"/>
    <col min="8" max="8" width="12" customWidth="1"/>
    <col min="9" max="9" width="18" customWidth="1"/>
    <col min="10" max="11" width="16" customWidth="1"/>
  </cols>
  <sheetData>
    <row r="1" ht="24" customHeight="1" spans="1:11" x14ac:dyDescent="0.25">
      <c r="A1" s="1" t="s">
        <v>71</v>
      </c>
      <c r="B1" s="1" t="s">
        <v>72</v>
      </c>
      <c r="C1" s="1" t="s">
        <v>73</v>
      </c>
      <c r="D1" s="1" t="s">
        <v>12</v>
      </c>
      <c r="E1" s="1" t="s">
        <v>23</v>
      </c>
      <c r="F1" s="1" t="s">
        <v>31</v>
      </c>
      <c r="G1" s="1" t="s">
        <v>34</v>
      </c>
      <c r="H1" s="1" t="s">
        <v>74</v>
      </c>
      <c r="I1" s="1" t="s">
        <v>75</v>
      </c>
      <c r="J1" s="1" t="s">
        <v>76</v>
      </c>
      <c r="K1" s="1" t="s">
        <v>77</v>
      </c>
    </row>
    <row r="2" spans="1:11" x14ac:dyDescent="0.25">
      <c r="A2" s="8">
        <v>46174</v>
      </c>
      <c r="B2" s="8">
        <v>46180</v>
      </c>
      <c r="C2" s="7">
        <f>SUMIFS('DAILY SALES LOG'!$G$2:$G$500,'DAILY SALES LOG'!$A$2:$A$500,"&gt;="&amp;A2,'DAILY SALES LOG'!$A$2:$A$500,"&lt;="&amp;B2)</f>
      </c>
      <c r="D2" s="7">
        <f>SUMPRODUCT(('DAILY SALES LOG'!$A$2:$A$500&gt;=A2)*('DAILY SALES LOG'!$A$2:$A$500&lt;=B2)*('DAILY SALES LOG'!$D$2:$D$500="Gallery Art")*'DAILY SALES LOG'!$G$2:$G$500)</f>
      </c>
      <c r="E2" s="7">
        <f>SUMPRODUCT(('DAILY SALES LOG'!$A$2:$A$500&gt;=A2)*('DAILY SALES LOG'!$A$2:$A$500&lt;=B2)*('DAILY SALES LOG'!$D$2:$D$500="Fashion")*'DAILY SALES LOG'!$G$2:$G$500)</f>
      </c>
      <c r="F2" s="7">
        <f>SUMPRODUCT(('DAILY SALES LOG'!$A$2:$A$500&gt;=A2)*('DAILY SALES LOG'!$A$2:$A$500&lt;=B2)*('DAILY SALES LOG'!$D$2:$D$500="Gifts")*'DAILY SALES LOG'!$G$2:$G$500)</f>
      </c>
      <c r="G2" s="7">
        <f>SUMPRODUCT(('DAILY SALES LOG'!$A$2:$A$500&gt;=A2)*('DAILY SALES LOG'!$A$2:$A$500&lt;=B2)*('DAILY SALES LOG'!$D$2:$D$500="Custom Orders")*'DAILY SALES LOG'!$G$2:$G$500)</f>
      </c>
      <c r="H2" s="9" t="s">
        <v>78</v>
      </c>
      <c r="I2">
        <f>IFERROR(INDEX($E$1:$H$1,MATCH(MAX(E2:H2),E2:H2,0)),"")</f>
      </c>
      <c r="J2" s="7">
        <f>SUMIFS('DAILY SALES LOG'!$G$2:$G$500,'DAILY SALES LOG'!$A$2:$A$500,"&gt;="&amp;A2,'DAILY SALES LOG'!$A$2:$A$500,"&lt;="&amp;B2,'DAILY SALES LOG'!$H$2:$H$500,"Cash")</f>
      </c>
      <c r="K2" s="7">
        <f>SUMIFS('DAILY SALES LOG'!$G$2:$G$500,'DAILY SALES LOG'!$A$2:$A$500,"&gt;="&amp;A2,'DAILY SALES LOG'!$A$2:$A$500,"&lt;="&amp;B2,'DAILY SALES LOG'!$H$2:$H$500,"Mobile Money")</f>
      </c>
    </row>
    <row r="3" spans="1:11" x14ac:dyDescent="0.25">
      <c r="A3" s="8">
        <v>46181</v>
      </c>
      <c r="B3" s="8">
        <v>46187</v>
      </c>
      <c r="C3" s="7">
        <f>SUMIFS('DAILY SALES LOG'!$G$2:$G$500,'DAILY SALES LOG'!$A$2:$A$500,"&gt;="&amp;A3,'DAILY SALES LOG'!$A$2:$A$500,"&lt;="&amp;B3)</f>
      </c>
      <c r="D3" s="7">
        <f>SUMPRODUCT(('DAILY SALES LOG'!$A$2:$A$500&gt;=A3)*('DAILY SALES LOG'!$A$2:$A$500&lt;=B3)*('DAILY SALES LOG'!$D$2:$D$500="Gallery Art")*'DAILY SALES LOG'!$G$2:$G$500)</f>
      </c>
      <c r="E3" s="7">
        <f>SUMPRODUCT(('DAILY SALES LOG'!$A$2:$A$500&gt;=A3)*('DAILY SALES LOG'!$A$2:$A$500&lt;=B3)*('DAILY SALES LOG'!$D$2:$D$500="Fashion")*'DAILY SALES LOG'!$G$2:$G$500)</f>
      </c>
      <c r="F3" s="7">
        <f>SUMPRODUCT(('DAILY SALES LOG'!$A$2:$A$500&gt;=A3)*('DAILY SALES LOG'!$A$2:$A$500&lt;=B3)*('DAILY SALES LOG'!$D$2:$D$500="Gifts")*'DAILY SALES LOG'!$G$2:$G$500)</f>
      </c>
      <c r="G3" s="7">
        <f>SUMPRODUCT(('DAILY SALES LOG'!$A$2:$A$500&gt;=A3)*('DAILY SALES LOG'!$A$2:$A$500&lt;=B3)*('DAILY SALES LOG'!$D$2:$D$500="Custom Orders")*'DAILY SALES LOG'!$G$2:$G$500)</f>
      </c>
      <c r="H3" s="9">
        <f>IFERROR((C3-C2)/C2,0)</f>
      </c>
      <c r="I3">
        <f>IFERROR(INDEX($E$1:$H$1,MATCH(MAX(E3:H3),E3:H3,0)),"")</f>
      </c>
      <c r="J3" s="7">
        <f>SUMIFS('DAILY SALES LOG'!$G$2:$G$500,'DAILY SALES LOG'!$A$2:$A$500,"&gt;="&amp;A3,'DAILY SALES LOG'!$A$2:$A$500,"&lt;="&amp;B3,'DAILY SALES LOG'!$H$2:$H$500,"Cash")</f>
      </c>
      <c r="K3" s="7">
        <f>SUMIFS('DAILY SALES LOG'!$G$2:$G$500,'DAILY SALES LOG'!$A$2:$A$500,"&gt;="&amp;A3,'DAILY SALES LOG'!$A$2:$A$500,"&lt;="&amp;B3,'DAILY SALES LOG'!$H$2:$H$500,"Mobile Money")</f>
      </c>
    </row>
    <row r="4" spans="1:11" x14ac:dyDescent="0.25">
      <c r="A4" s="8">
        <v>46188</v>
      </c>
      <c r="B4" s="8">
        <v>46194</v>
      </c>
      <c r="C4" s="7">
        <f>SUMIFS('DAILY SALES LOG'!$G$2:$G$500,'DAILY SALES LOG'!$A$2:$A$500,"&gt;="&amp;A4,'DAILY SALES LOG'!$A$2:$A$500,"&lt;="&amp;B4)</f>
      </c>
      <c r="D4" s="7">
        <f>SUMPRODUCT(('DAILY SALES LOG'!$A$2:$A$500&gt;=A4)*('DAILY SALES LOG'!$A$2:$A$500&lt;=B4)*('DAILY SALES LOG'!$D$2:$D$500="Gallery Art")*'DAILY SALES LOG'!$G$2:$G$500)</f>
      </c>
      <c r="E4" s="7">
        <f>SUMPRODUCT(('DAILY SALES LOG'!$A$2:$A$500&gt;=A4)*('DAILY SALES LOG'!$A$2:$A$500&lt;=B4)*('DAILY SALES LOG'!$D$2:$D$500="Fashion")*'DAILY SALES LOG'!$G$2:$G$500)</f>
      </c>
      <c r="F4" s="7">
        <f>SUMPRODUCT(('DAILY SALES LOG'!$A$2:$A$500&gt;=A4)*('DAILY SALES LOG'!$A$2:$A$500&lt;=B4)*('DAILY SALES LOG'!$D$2:$D$500="Gifts")*'DAILY SALES LOG'!$G$2:$G$500)</f>
      </c>
      <c r="G4" s="7">
        <f>SUMPRODUCT(('DAILY SALES LOG'!$A$2:$A$500&gt;=A4)*('DAILY SALES LOG'!$A$2:$A$500&lt;=B4)*('DAILY SALES LOG'!$D$2:$D$500="Custom Orders")*'DAILY SALES LOG'!$G$2:$G$500)</f>
      </c>
      <c r="H4" s="9">
        <f>IFERROR((C4-C3)/C3,0)</f>
      </c>
      <c r="I4">
        <f>IFERROR(INDEX($E$1:$H$1,MATCH(MAX(E4:H4),E4:H4,0)),"")</f>
      </c>
      <c r="J4" s="7">
        <f>SUMIFS('DAILY SALES LOG'!$G$2:$G$500,'DAILY SALES LOG'!$A$2:$A$500,"&gt;="&amp;A4,'DAILY SALES LOG'!$A$2:$A$500,"&lt;="&amp;B4,'DAILY SALES LOG'!$H$2:$H$500,"Cash")</f>
      </c>
      <c r="K4" s="7">
        <f>SUMIFS('DAILY SALES LOG'!$G$2:$G$500,'DAILY SALES LOG'!$A$2:$A$500,"&gt;="&amp;A4,'DAILY SALES LOG'!$A$2:$A$500,"&lt;="&amp;B4,'DAILY SALES LOG'!$H$2:$H$500,"Mobile Money")</f>
      </c>
    </row>
    <row r="5" spans="1:11" x14ac:dyDescent="0.25">
      <c r="A5" s="8">
        <v>46195</v>
      </c>
      <c r="B5" s="8">
        <v>46201</v>
      </c>
      <c r="C5" s="7">
        <f>SUMIFS('DAILY SALES LOG'!$G$2:$G$500,'DAILY SALES LOG'!$A$2:$A$500,"&gt;="&amp;A5,'DAILY SALES LOG'!$A$2:$A$500,"&lt;="&amp;B5)</f>
      </c>
      <c r="D5" s="7">
        <f>SUMPRODUCT(('DAILY SALES LOG'!$A$2:$A$500&gt;=A5)*('DAILY SALES LOG'!$A$2:$A$500&lt;=B5)*('DAILY SALES LOG'!$D$2:$D$500="Gallery Art")*'DAILY SALES LOG'!$G$2:$G$500)</f>
      </c>
      <c r="E5" s="7">
        <f>SUMPRODUCT(('DAILY SALES LOG'!$A$2:$A$500&gt;=A5)*('DAILY SALES LOG'!$A$2:$A$500&lt;=B5)*('DAILY SALES LOG'!$D$2:$D$500="Fashion")*'DAILY SALES LOG'!$G$2:$G$500)</f>
      </c>
      <c r="F5" s="7">
        <f>SUMPRODUCT(('DAILY SALES LOG'!$A$2:$A$500&gt;=A5)*('DAILY SALES LOG'!$A$2:$A$500&lt;=B5)*('DAILY SALES LOG'!$D$2:$D$500="Gifts")*'DAILY SALES LOG'!$G$2:$G$500)</f>
      </c>
      <c r="G5" s="7">
        <f>SUMPRODUCT(('DAILY SALES LOG'!$A$2:$A$500&gt;=A5)*('DAILY SALES LOG'!$A$2:$A$500&lt;=B5)*('DAILY SALES LOG'!$D$2:$D$500="Custom Orders")*'DAILY SALES LOG'!$G$2:$G$500)</f>
      </c>
      <c r="H5" s="9">
        <f>IFERROR((C5-C4)/C4,0)</f>
      </c>
      <c r="I5">
        <f>IFERROR(INDEX($E$1:$H$1,MATCH(MAX(E5:H5),E5:H5,0)),"")</f>
      </c>
      <c r="J5" s="7">
        <f>SUMIFS('DAILY SALES LOG'!$G$2:$G$500,'DAILY SALES LOG'!$A$2:$A$500,"&gt;="&amp;A5,'DAILY SALES LOG'!$A$2:$A$500,"&lt;="&amp;B5,'DAILY SALES LOG'!$H$2:$H$500,"Cash")</f>
      </c>
      <c r="K5" s="7">
        <f>SUMIFS('DAILY SALES LOG'!$G$2:$G$500,'DAILY SALES LOG'!$A$2:$A$500,"&gt;="&amp;A5,'DAILY SALES LOG'!$A$2:$A$500,"&lt;="&amp;B5,'DAILY SALES LOG'!$H$2:$H$500,"Mobile Money")</f>
      </c>
    </row>
    <row r="8" spans="1:4" x14ac:dyDescent="0.25">
      <c r="A8" s="10" t="s">
        <v>79</v>
      </c>
      <c r="B8" s="10"/>
      <c r="C8" s="10"/>
      <c r="D8" s="10"/>
    </row>
    <row r="9" spans="1:15" x14ac:dyDescent="0.25">
      <c r="A9" s="1" t="s">
        <v>80</v>
      </c>
      <c r="B9" s="1" t="s">
        <v>2</v>
      </c>
      <c r="C9" s="1" t="s">
        <v>81</v>
      </c>
      <c r="D9" s="1" t="s">
        <v>82</v>
      </c>
      <c r="M9" s="11" t="s">
        <v>83</v>
      </c>
      <c r="N9" s="11" t="s">
        <v>84</v>
      </c>
      <c r="O9" s="11" t="s">
        <v>85</v>
      </c>
    </row>
    <row r="10" spans="13:15" x14ac:dyDescent="0.25">
      <c r="M10" s="12" t="s">
        <v>11</v>
      </c>
      <c r="N10" s="13">
        <f>SUMIFS('DAILY SALES LOG'!$G$2:$G$500,'DAILY SALES LOG'!$A$2:$A$500,"&gt;="&amp;$A$4,'DAILY SALES LOG'!$A$2:$A$500,"&lt;="&amp;$B$4,'DAILY SALES LOG'!$C$2:$C$500,M10)</f>
      </c>
      <c r="O10" s="12">
        <v>1</v>
      </c>
    </row>
    <row r="11" spans="13:15" x14ac:dyDescent="0.25">
      <c r="M11" s="12" t="s">
        <v>42</v>
      </c>
      <c r="N11" s="13">
        <f>SUMIFS('DAILY SALES LOG'!$G$2:$G$500,'DAILY SALES LOG'!$A$2:$A$500,"&gt;="&amp;$A$4,'DAILY SALES LOG'!$A$2:$A$500,"&lt;="&amp;$B$4,'DAILY SALES LOG'!$C$2:$C$500,M11)</f>
      </c>
      <c r="O11" s="12">
        <v>2</v>
      </c>
    </row>
    <row r="12" spans="13:15" x14ac:dyDescent="0.25">
      <c r="M12" s="12" t="s">
        <v>57</v>
      </c>
      <c r="N12" s="13">
        <f>SUMIFS('DAILY SALES LOG'!$G$2:$G$500,'DAILY SALES LOG'!$A$2:$A$500,"&gt;="&amp;$A$4,'DAILY SALES LOG'!$A$2:$A$500,"&lt;="&amp;$B$4,'DAILY SALES LOG'!$C$2:$C$500,M12)</f>
      </c>
      <c r="O12" s="12">
        <v>3</v>
      </c>
    </row>
    <row r="13" spans="13:15" x14ac:dyDescent="0.25">
      <c r="M13" s="12" t="s">
        <v>16</v>
      </c>
      <c r="N13" s="13">
        <f>SUMIFS('DAILY SALES LOG'!$G$2:$G$500,'DAILY SALES LOG'!$A$2:$A$500,"&gt;="&amp;$A$4,'DAILY SALES LOG'!$A$2:$A$500,"&lt;="&amp;$B$4,'DAILY SALES LOG'!$C$2:$C$500,M13)</f>
      </c>
      <c r="O13" s="12">
        <v>4</v>
      </c>
    </row>
    <row r="14" spans="13:15" x14ac:dyDescent="0.25">
      <c r="M14" s="12" t="s">
        <v>43</v>
      </c>
      <c r="N14" s="13">
        <f>SUMIFS('DAILY SALES LOG'!$G$2:$G$500,'DAILY SALES LOG'!$A$2:$A$500,"&gt;="&amp;$A$4,'DAILY SALES LOG'!$A$2:$A$500,"&lt;="&amp;$B$4,'DAILY SALES LOG'!$C$2:$C$500,M14)</f>
      </c>
      <c r="O14" s="12">
        <v>5</v>
      </c>
    </row>
    <row r="15" spans="13:15" x14ac:dyDescent="0.25">
      <c r="M15" s="12" t="s">
        <v>46</v>
      </c>
      <c r="N15" s="13">
        <f>SUMIFS('DAILY SALES LOG'!$G$2:$G$500,'DAILY SALES LOG'!$A$2:$A$500,"&gt;="&amp;$A$4,'DAILY SALES LOG'!$A$2:$A$500,"&lt;="&amp;$B$4,'DAILY SALES LOG'!$C$2:$C$500,M15)</f>
      </c>
      <c r="O15" s="12">
        <v>6</v>
      </c>
    </row>
    <row r="16" spans="13:15" x14ac:dyDescent="0.25">
      <c r="M16" s="12" t="s">
        <v>18</v>
      </c>
      <c r="N16" s="13">
        <f>SUMIFS('DAILY SALES LOG'!$G$2:$G$500,'DAILY SALES LOG'!$A$2:$A$500,"&gt;="&amp;$A$4,'DAILY SALES LOG'!$A$2:$A$500,"&lt;="&amp;$B$4,'DAILY SALES LOG'!$C$2:$C$500,M16)</f>
      </c>
      <c r="O16" s="12">
        <v>7</v>
      </c>
    </row>
    <row r="17" spans="13:15" x14ac:dyDescent="0.25">
      <c r="M17" s="12" t="s">
        <v>21</v>
      </c>
      <c r="N17" s="13">
        <f>SUMIFS('DAILY SALES LOG'!$G$2:$G$500,'DAILY SALES LOG'!$A$2:$A$500,"&gt;="&amp;$A$4,'DAILY SALES LOG'!$A$2:$A$500,"&lt;="&amp;$B$4,'DAILY SALES LOG'!$C$2:$C$500,M17)</f>
      </c>
      <c r="O17" s="12">
        <v>8</v>
      </c>
    </row>
    <row r="18" spans="13:15" x14ac:dyDescent="0.25">
      <c r="M18" s="12" t="s">
        <v>47</v>
      </c>
      <c r="N18" s="13">
        <f>SUMIFS('DAILY SALES LOG'!$G$2:$G$500,'DAILY SALES LOG'!$A$2:$A$500,"&gt;="&amp;$A$4,'DAILY SALES LOG'!$A$2:$A$500,"&lt;="&amp;$B$4,'DAILY SALES LOG'!$C$2:$C$500,M18)</f>
      </c>
      <c r="O18" s="12">
        <v>9</v>
      </c>
    </row>
    <row r="19" spans="13:15" x14ac:dyDescent="0.25">
      <c r="M19" s="12" t="s">
        <v>59</v>
      </c>
      <c r="N19" s="13">
        <f>SUMIFS('DAILY SALES LOG'!$G$2:$G$500,'DAILY SALES LOG'!$A$2:$A$500,"&gt;="&amp;$A$4,'DAILY SALES LOG'!$A$2:$A$500,"&lt;="&amp;$B$4,'DAILY SALES LOG'!$C$2:$C$500,M19)</f>
      </c>
      <c r="O19" s="12">
        <v>10</v>
      </c>
    </row>
    <row r="20" spans="13:15" x14ac:dyDescent="0.25">
      <c r="M20" s="12" t="s">
        <v>22</v>
      </c>
      <c r="N20" s="13">
        <f>SUMIFS('DAILY SALES LOG'!$G$2:$G$500,'DAILY SALES LOG'!$A$2:$A$500,"&gt;="&amp;$A$4,'DAILY SALES LOG'!$A$2:$A$500,"&lt;="&amp;$B$4,'DAILY SALES LOG'!$C$2:$C$500,M20)</f>
      </c>
      <c r="O20" s="12">
        <v>11</v>
      </c>
    </row>
    <row r="21" spans="13:15" x14ac:dyDescent="0.25">
      <c r="M21" s="12" t="s">
        <v>48</v>
      </c>
      <c r="N21" s="13">
        <f>SUMIFS('DAILY SALES LOG'!$G$2:$G$500,'DAILY SALES LOG'!$A$2:$A$500,"&gt;="&amp;$A$4,'DAILY SALES LOG'!$A$2:$A$500,"&lt;="&amp;$B$4,'DAILY SALES LOG'!$C$2:$C$500,M21)</f>
      </c>
      <c r="O21" s="12">
        <v>12</v>
      </c>
    </row>
    <row r="22" spans="13:15" x14ac:dyDescent="0.25">
      <c r="M22" s="12" t="s">
        <v>50</v>
      </c>
      <c r="N22" s="13">
        <f>SUMIFS('DAILY SALES LOG'!$G$2:$G$500,'DAILY SALES LOG'!$A$2:$A$500,"&gt;="&amp;$A$4,'DAILY SALES LOG'!$A$2:$A$500,"&lt;="&amp;$B$4,'DAILY SALES LOG'!$C$2:$C$500,M22)</f>
      </c>
      <c r="O22" s="12">
        <v>13</v>
      </c>
    </row>
    <row r="23" spans="13:15" x14ac:dyDescent="0.25">
      <c r="M23" s="12" t="s">
        <v>24</v>
      </c>
      <c r="N23" s="13">
        <f>SUMIFS('DAILY SALES LOG'!$G$2:$G$500,'DAILY SALES LOG'!$A$2:$A$500,"&gt;="&amp;$A$4,'DAILY SALES LOG'!$A$2:$A$500,"&lt;="&amp;$B$4,'DAILY SALES LOG'!$C$2:$C$500,M23)</f>
      </c>
      <c r="O23" s="12">
        <v>14</v>
      </c>
    </row>
    <row r="24" spans="13:15" x14ac:dyDescent="0.25">
      <c r="M24" s="12" t="s">
        <v>28</v>
      </c>
      <c r="N24" s="13">
        <f>SUMIFS('DAILY SALES LOG'!$G$2:$G$500,'DAILY SALES LOG'!$A$2:$A$500,"&gt;="&amp;$A$4,'DAILY SALES LOG'!$A$2:$A$500,"&lt;="&amp;$B$4,'DAILY SALES LOG'!$C$2:$C$500,M24)</f>
      </c>
      <c r="O24" s="12">
        <v>15</v>
      </c>
    </row>
    <row r="25" spans="13:15" x14ac:dyDescent="0.25">
      <c r="M25" s="12" t="s">
        <v>51</v>
      </c>
      <c r="N25" s="13">
        <f>SUMIFS('DAILY SALES LOG'!$G$2:$G$500,'DAILY SALES LOG'!$A$2:$A$500,"&gt;="&amp;$A$4,'DAILY SALES LOG'!$A$2:$A$500,"&lt;="&amp;$B$4,'DAILY SALES LOG'!$C$2:$C$500,M25)</f>
      </c>
      <c r="O25" s="12">
        <v>16</v>
      </c>
    </row>
    <row r="26" spans="13:15" x14ac:dyDescent="0.25">
      <c r="M26" s="12" t="s">
        <v>26</v>
      </c>
      <c r="N26" s="13">
        <f>SUMIFS('DAILY SALES LOG'!$G$2:$G$500,'DAILY SALES LOG'!$A$2:$A$500,"&gt;="&amp;$A$4,'DAILY SALES LOG'!$A$2:$A$500,"&lt;="&amp;$B$4,'DAILY SALES LOG'!$C$2:$C$500,M26)</f>
      </c>
      <c r="O26" s="12">
        <v>17</v>
      </c>
    </row>
    <row r="27" spans="13:15" x14ac:dyDescent="0.25">
      <c r="M27" s="12" t="s">
        <v>29</v>
      </c>
      <c r="N27" s="13">
        <f>SUMIFS('DAILY SALES LOG'!$G$2:$G$500,'DAILY SALES LOG'!$A$2:$A$500,"&gt;="&amp;$A$4,'DAILY SALES LOG'!$A$2:$A$500,"&lt;="&amp;$B$4,'DAILY SALES LOG'!$C$2:$C$500,M27)</f>
      </c>
      <c r="O27" s="12">
        <v>18</v>
      </c>
    </row>
    <row r="28" spans="13:15" x14ac:dyDescent="0.25">
      <c r="M28" s="12" t="s">
        <v>52</v>
      </c>
      <c r="N28" s="13">
        <f>SUMIFS('DAILY SALES LOG'!$G$2:$G$500,'DAILY SALES LOG'!$A$2:$A$500,"&gt;="&amp;$A$4,'DAILY SALES LOG'!$A$2:$A$500,"&lt;="&amp;$B$4,'DAILY SALES LOG'!$C$2:$C$500,M28)</f>
      </c>
      <c r="O28" s="12">
        <v>19</v>
      </c>
    </row>
    <row r="29" spans="13:15" x14ac:dyDescent="0.25">
      <c r="M29" s="12" t="s">
        <v>53</v>
      </c>
      <c r="N29" s="13">
        <f>SUMIFS('DAILY SALES LOG'!$G$2:$G$500,'DAILY SALES LOG'!$A$2:$A$500,"&gt;="&amp;$A$4,'DAILY SALES LOG'!$A$2:$A$500,"&lt;="&amp;$B$4,'DAILY SALES LOG'!$C$2:$C$500,M29)</f>
      </c>
      <c r="O29" s="12">
        <v>20</v>
      </c>
    </row>
    <row r="30" spans="13:15" x14ac:dyDescent="0.25">
      <c r="M30" s="12" t="s">
        <v>30</v>
      </c>
      <c r="N30" s="13">
        <f>SUMIFS('DAILY SALES LOG'!$G$2:$G$500,'DAILY SALES LOG'!$A$2:$A$500,"&gt;="&amp;$A$4,'DAILY SALES LOG'!$A$2:$A$500,"&lt;="&amp;$B$4,'DAILY SALES LOG'!$C$2:$C$500,M30)</f>
      </c>
      <c r="O30" s="12">
        <v>21</v>
      </c>
    </row>
    <row r="31" spans="13:15" x14ac:dyDescent="0.25">
      <c r="M31" s="12" t="s">
        <v>36</v>
      </c>
      <c r="N31" s="13">
        <f>SUMIFS('DAILY SALES LOG'!$G$2:$G$500,'DAILY SALES LOG'!$A$2:$A$500,"&gt;="&amp;$A$4,'DAILY SALES LOG'!$A$2:$A$500,"&lt;="&amp;$B$4,'DAILY SALES LOG'!$C$2:$C$500,M31)</f>
      </c>
      <c r="O31" s="12">
        <v>22</v>
      </c>
    </row>
    <row r="32" spans="13:15" x14ac:dyDescent="0.25">
      <c r="M32" s="12" t="s">
        <v>54</v>
      </c>
      <c r="N32" s="13">
        <f>SUMIFS('DAILY SALES LOG'!$G$2:$G$500,'DAILY SALES LOG'!$A$2:$A$500,"&gt;="&amp;$A$4,'DAILY SALES LOG'!$A$2:$A$500,"&lt;="&amp;$B$4,'DAILY SALES LOG'!$C$2:$C$500,M32)</f>
      </c>
      <c r="O32" s="12">
        <v>23</v>
      </c>
    </row>
    <row r="33" spans="13:15" x14ac:dyDescent="0.25">
      <c r="M33" s="12" t="s">
        <v>32</v>
      </c>
      <c r="N33" s="13">
        <f>SUMIFS('DAILY SALES LOG'!$G$2:$G$500,'DAILY SALES LOG'!$A$2:$A$500,"&gt;="&amp;$A$4,'DAILY SALES LOG'!$A$2:$A$500,"&lt;="&amp;$B$4,'DAILY SALES LOG'!$C$2:$C$500,M33)</f>
      </c>
      <c r="O33" s="12">
        <v>24</v>
      </c>
    </row>
    <row r="34" spans="13:15" x14ac:dyDescent="0.25">
      <c r="M34" s="12" t="s">
        <v>37</v>
      </c>
      <c r="N34" s="13">
        <f>SUMIFS('DAILY SALES LOG'!$G$2:$G$500,'DAILY SALES LOG'!$A$2:$A$500,"&gt;="&amp;$A$4,'DAILY SALES LOG'!$A$2:$A$500,"&lt;="&amp;$B$4,'DAILY SALES LOG'!$C$2:$C$500,M34)</f>
      </c>
      <c r="O34" s="12">
        <v>25</v>
      </c>
    </row>
    <row r="35" spans="13:15" x14ac:dyDescent="0.25">
      <c r="M35" s="12" t="s">
        <v>55</v>
      </c>
      <c r="N35" s="13">
        <f>SUMIFS('DAILY SALES LOG'!$G$2:$G$500,'DAILY SALES LOG'!$A$2:$A$500,"&gt;="&amp;$A$4,'DAILY SALES LOG'!$A$2:$A$500,"&lt;="&amp;$B$4,'DAILY SALES LOG'!$C$2:$C$500,M35)</f>
      </c>
      <c r="O35" s="12">
        <v>26</v>
      </c>
    </row>
    <row r="36" spans="13:15" x14ac:dyDescent="0.25">
      <c r="M36" s="12" t="s">
        <v>33</v>
      </c>
      <c r="N36" s="13">
        <f>SUMIFS('DAILY SALES LOG'!$G$2:$G$500,'DAILY SALES LOG'!$A$2:$A$500,"&gt;="&amp;$A$4,'DAILY SALES LOG'!$A$2:$A$500,"&lt;="&amp;$B$4,'DAILY SALES LOG'!$C$2:$C$500,M36)</f>
      </c>
      <c r="O36" s="12">
        <v>27</v>
      </c>
    </row>
    <row r="37" spans="13:15" x14ac:dyDescent="0.25">
      <c r="M37" s="12" t="s">
        <v>38</v>
      </c>
      <c r="N37" s="13">
        <f>SUMIFS('DAILY SALES LOG'!$G$2:$G$500,'DAILY SALES LOG'!$A$2:$A$500,"&gt;="&amp;$A$4,'DAILY SALES LOG'!$A$2:$A$500,"&lt;="&amp;$B$4,'DAILY SALES LOG'!$C$2:$C$500,M37)</f>
      </c>
      <c r="O37" s="12">
        <v>28</v>
      </c>
    </row>
    <row r="38" spans="13:15" x14ac:dyDescent="0.25">
      <c r="M38" s="12" t="s">
        <v>41</v>
      </c>
      <c r="N38" s="13">
        <f>SUMIFS('DAILY SALES LOG'!$G$2:$G$500,'DAILY SALES LOG'!$A$2:$A$500,"&gt;="&amp;$A$4,'DAILY SALES LOG'!$A$2:$A$500,"&lt;="&amp;$B$4,'DAILY SALES LOG'!$C$2:$C$500,M38)</f>
      </c>
      <c r="O38" s="12">
        <v>29</v>
      </c>
    </row>
    <row r="39" spans="13:15" x14ac:dyDescent="0.25">
      <c r="M39" s="12" t="s">
        <v>56</v>
      </c>
      <c r="N39" s="13">
        <f>SUMIFS('DAILY SALES LOG'!$G$2:$G$500,'DAILY SALES LOG'!$A$2:$A$500,"&gt;="&amp;$A$4,'DAILY SALES LOG'!$A$2:$A$500,"&lt;="&amp;$B$4,'DAILY SALES LOG'!$C$2:$C$500,M39)</f>
      </c>
      <c r="O39" s="12">
        <v>30</v>
      </c>
    </row>
    <row r="40" spans="1:4" x14ac:dyDescent="0.25">
      <c r="A40">
        <v>1</v>
      </c>
      <c r="B40">
        <f>IFERROR(INDEX($M$10:$M$39,MATCH(LARGE($N$10:$N$39,1),$N$10:$N$39,0)),"")</f>
      </c>
      <c r="C40" s="7">
        <f>IFERROR(LARGE($N$10:$N$39,1),0)</f>
      </c>
      <c r="D40" s="6">
        <f>IFERROR(SUMIFS('DAILY SALES LOG'!$E$2:$E$500,'DAILY SALES LOG'!$A$2:$A$500,"&gt;="&amp;$A$4,'DAILY SALES LOG'!$A$2:$A$500,"&lt;="&amp;$B$4,'DAILY SALES LOG'!$C$2:$C$500,B40),0)</f>
      </c>
    </row>
    <row r="41" spans="1:4" x14ac:dyDescent="0.25">
      <c r="A41">
        <v>2</v>
      </c>
      <c r="B41">
        <f>IFERROR(INDEX($M$10:$M$39,MATCH(LARGE($N$10:$N$39,2),$N$10:$N$39,0)),"")</f>
      </c>
      <c r="C41" s="7">
        <f>IFERROR(LARGE($N$10:$N$39,2),0)</f>
      </c>
      <c r="D41" s="6">
        <f>IFERROR(SUMIFS('DAILY SALES LOG'!$E$2:$E$500,'DAILY SALES LOG'!$A$2:$A$500,"&gt;="&amp;$A$4,'DAILY SALES LOG'!$A$2:$A$500,"&lt;="&amp;$B$4,'DAILY SALES LOG'!$C$2:$C$500,B41),0)</f>
      </c>
    </row>
    <row r="42" spans="1:4" x14ac:dyDescent="0.25">
      <c r="A42">
        <v>3</v>
      </c>
      <c r="B42">
        <f>IFERROR(INDEX($M$10:$M$39,MATCH(LARGE($N$10:$N$39,3),$N$10:$N$39,0)),"")</f>
      </c>
      <c r="C42" s="7">
        <f>IFERROR(LARGE($N$10:$N$39,3),0)</f>
      </c>
      <c r="D42" s="6">
        <f>IFERROR(SUMIFS('DAILY SALES LOG'!$E$2:$E$500,'DAILY SALES LOG'!$A$2:$A$500,"&gt;="&amp;$A$4,'DAILY SALES LOG'!$A$2:$A$500,"&lt;="&amp;$B$4,'DAILY SALES LOG'!$C$2:$C$500,B42),0)</f>
      </c>
    </row>
    <row r="43" spans="1:4" x14ac:dyDescent="0.25">
      <c r="A43">
        <v>4</v>
      </c>
      <c r="B43">
        <f>IFERROR(INDEX($M$10:$M$39,MATCH(LARGE($N$10:$N$39,4),$N$10:$N$39,0)),"")</f>
      </c>
      <c r="C43" s="7">
        <f>IFERROR(LARGE($N$10:$N$39,4),0)</f>
      </c>
      <c r="D43" s="6">
        <f>IFERROR(SUMIFS('DAILY SALES LOG'!$E$2:$E$500,'DAILY SALES LOG'!$A$2:$A$500,"&gt;="&amp;$A$4,'DAILY SALES LOG'!$A$2:$A$500,"&lt;="&amp;$B$4,'DAILY SALES LOG'!$C$2:$C$500,B43),0)</f>
      </c>
    </row>
    <row r="44" spans="1:4" x14ac:dyDescent="0.25">
      <c r="A44">
        <v>5</v>
      </c>
      <c r="B44">
        <f>IFERROR(INDEX($M$10:$M$39,MATCH(LARGE($N$10:$N$39,5),$N$10:$N$39,0)),"")</f>
      </c>
      <c r="C44" s="7">
        <f>IFERROR(LARGE($N$10:$N$39,5),0)</f>
      </c>
      <c r="D44" s="6">
        <f>IFERROR(SUMIFS('DAILY SALES LOG'!$E$2:$E$500,'DAILY SALES LOG'!$A$2:$A$500,"&gt;="&amp;$A$4,'DAILY SALES LOG'!$A$2:$A$500,"&lt;="&amp;$B$4,'DAILY SALES LOG'!$C$2:$C$500,B44),0)</f>
      </c>
    </row>
  </sheetData>
  <mergeCells count="1">
    <mergeCell ref="A8:D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3" width="16" customWidth="1"/>
    <col min="4" max="4" width="12" customWidth="1"/>
    <col min="5" max="5" width="32" customWidth="1"/>
  </cols>
  <sheetData>
    <row r="1" ht="28" customHeight="1" spans="1:4" x14ac:dyDescent="0.25">
      <c r="A1" s="10" t="s">
        <v>86</v>
      </c>
      <c r="B1" s="10"/>
      <c r="C1" s="10"/>
      <c r="D1" s="10"/>
    </row>
    <row r="2" ht="22" customHeight="1" spans="1:4" x14ac:dyDescent="0.25">
      <c r="A2" s="1" t="s">
        <v>87</v>
      </c>
      <c r="B2" s="1" t="s">
        <v>88</v>
      </c>
      <c r="C2" s="1" t="s">
        <v>89</v>
      </c>
      <c r="D2" s="1" t="s">
        <v>90</v>
      </c>
    </row>
    <row r="3" spans="1:4" x14ac:dyDescent="0.25">
      <c r="A3" s="10" t="s">
        <v>91</v>
      </c>
      <c r="B3" s="10"/>
      <c r="C3" s="10"/>
      <c r="D3" s="10"/>
    </row>
    <row r="4" spans="1:4" x14ac:dyDescent="0.25">
      <c r="A4" s="14" t="s">
        <v>92</v>
      </c>
      <c r="B4" s="7">
        <f>SUMIFS('DAILY SALES LOG'!$G$2:$G$500,'DAILY SALES LOG'!$A$2:$A$500,"&gt;="&amp;DATE(2026,6,1),'DAILY SALES LOG'!$A$2:$A$500,"&lt;"&amp;DATE(2026,6+1,1))</f>
      </c>
      <c r="C4" s="7">
        <f>SUMIFS('DAILY SALES LOG'!$G$2:$G$500,'DAILY SALES LOG'!$A$2:$A$500,"&gt;="&amp;DATE(2026,7,1),'DAILY SALES LOG'!$A$2:$A$500,"&lt;"&amp;DATE(2026,7+1,1))</f>
      </c>
      <c r="D4" s="9">
        <f>IFERROR((C4-B4)/B4,0)</f>
      </c>
    </row>
    <row r="5" spans="1:6" x14ac:dyDescent="0.25">
      <c r="A5" s="14" t="s">
        <v>93</v>
      </c>
      <c r="B5" s="7">
        <v>0</v>
      </c>
      <c r="C5" s="7">
        <v>0</v>
      </c>
      <c r="D5" s="9">
        <f>IFERROR((C5-B5)/B5,0)</f>
      </c>
      <c r="F5" s="15" t="s">
        <v>94</v>
      </c>
    </row>
    <row r="6" spans="1:4" x14ac:dyDescent="0.25">
      <c r="A6" s="16" t="s">
        <v>95</v>
      </c>
      <c r="B6" s="17">
        <f>B4-B5</f>
      </c>
      <c r="C6" s="17">
        <f>C4-C5</f>
      </c>
      <c r="D6" s="9">
        <f>IFERROR((C6-B6)/B6,0)</f>
      </c>
    </row>
    <row r="7" spans="1:4" x14ac:dyDescent="0.25">
      <c r="A7" s="10" t="s">
        <v>96</v>
      </c>
      <c r="B7" s="10"/>
      <c r="C7" s="10"/>
      <c r="D7" s="10"/>
    </row>
    <row r="8" spans="1:4" x14ac:dyDescent="0.25">
      <c r="A8" s="14" t="s">
        <v>97</v>
      </c>
      <c r="B8" s="7">
        <v>12000</v>
      </c>
      <c r="C8" s="7">
        <v>12960</v>
      </c>
      <c r="D8" s="9">
        <f>IFERROR((C8-B8)/B8,0)</f>
      </c>
    </row>
    <row r="9" spans="1:4" x14ac:dyDescent="0.25">
      <c r="A9" s="14" t="s">
        <v>98</v>
      </c>
      <c r="B9" s="7">
        <v>22000</v>
      </c>
      <c r="C9" s="7">
        <v>23760</v>
      </c>
      <c r="D9" s="9">
        <f>IFERROR((C9-B9)/B9,0)</f>
      </c>
    </row>
    <row r="10" spans="1:4" x14ac:dyDescent="0.25">
      <c r="A10" s="14" t="s">
        <v>99</v>
      </c>
      <c r="B10" s="7">
        <v>9500</v>
      </c>
      <c r="C10" s="7">
        <v>10260</v>
      </c>
      <c r="D10" s="9">
        <f>IFERROR((C10-B10)/B10,0)</f>
      </c>
    </row>
    <row r="11" spans="1:4" x14ac:dyDescent="0.25">
      <c r="A11" s="14" t="s">
        <v>100</v>
      </c>
      <c r="B11" s="7">
        <v>6500</v>
      </c>
      <c r="C11" s="7">
        <v>7020</v>
      </c>
      <c r="D11" s="9">
        <f>IFERROR((C11-B11)/B11,0)</f>
      </c>
    </row>
    <row r="12" spans="1:4" x14ac:dyDescent="0.25">
      <c r="A12" s="16" t="s">
        <v>101</v>
      </c>
      <c r="B12" s="17">
        <f>SUM(B8:B11)</f>
      </c>
      <c r="C12" s="17">
        <f>SUM(C8:C11)</f>
      </c>
      <c r="D12" s="9">
        <f>IFERROR((C12-B12)/B12,0)</f>
      </c>
    </row>
    <row r="13" spans="1:4" x14ac:dyDescent="0.25">
      <c r="A13" s="16" t="s">
        <v>102</v>
      </c>
      <c r="B13" s="18">
        <f>B6-B12</f>
      </c>
      <c r="C13" s="18">
        <f>C6-C12</f>
      </c>
      <c r="D13" s="9">
        <f>IFERROR((C13-B13)/B13,0)</f>
      </c>
    </row>
    <row r="14" spans="1:4" x14ac:dyDescent="0.25">
      <c r="A14" s="14" t="s">
        <v>103</v>
      </c>
      <c r="B14" s="9">
        <f>IFERROR(B13/B6,0)</f>
      </c>
      <c r="C14" s="9">
        <f>IFERROR(C13/C6,0)</f>
      </c>
      <c r="D14" s="9">
        <f>IFERROR((C14-B14)/B14,0)</f>
      </c>
    </row>
    <row r="15" spans="1:4" x14ac:dyDescent="0.25">
      <c r="A15" s="10" t="s">
        <v>104</v>
      </c>
      <c r="B15" s="10"/>
      <c r="C15" s="10"/>
      <c r="D15" s="10"/>
    </row>
    <row r="16" spans="1:4" x14ac:dyDescent="0.25">
      <c r="A16" s="14" t="s">
        <v>105</v>
      </c>
      <c r="B16" s="7">
        <v>8000</v>
      </c>
      <c r="C16" s="7">
        <v>8400</v>
      </c>
      <c r="D16" s="9">
        <f>IFERROR((C16-B16)/B16,0)</f>
      </c>
    </row>
    <row r="17" spans="1:4" x14ac:dyDescent="0.25">
      <c r="A17" s="14" t="s">
        <v>106</v>
      </c>
      <c r="B17" s="7">
        <v>15000</v>
      </c>
      <c r="C17" s="7">
        <v>15750</v>
      </c>
      <c r="D17" s="9">
        <f>IFERROR((C17-B17)/B17,0)</f>
      </c>
    </row>
    <row r="18" spans="1:4" x14ac:dyDescent="0.25">
      <c r="A18" s="14" t="s">
        <v>107</v>
      </c>
      <c r="B18" s="7">
        <v>2200</v>
      </c>
      <c r="C18" s="7">
        <v>2310</v>
      </c>
      <c r="D18" s="9">
        <f>IFERROR((C18-B18)/B18,0)</f>
      </c>
    </row>
    <row r="19" spans="1:4" x14ac:dyDescent="0.25">
      <c r="A19" s="14" t="s">
        <v>108</v>
      </c>
      <c r="B19" s="7">
        <v>1800</v>
      </c>
      <c r="C19" s="7">
        <v>1890</v>
      </c>
      <c r="D19" s="9">
        <f>IFERROR((C19-B19)/B19,0)</f>
      </c>
    </row>
    <row r="20" spans="1:4" x14ac:dyDescent="0.25">
      <c r="A20" s="14" t="s">
        <v>109</v>
      </c>
      <c r="B20" s="7">
        <v>1200</v>
      </c>
      <c r="C20" s="7">
        <v>1260</v>
      </c>
      <c r="D20" s="9">
        <f>IFERROR((C20-B20)/B20,0)</f>
      </c>
    </row>
    <row r="21" spans="1:4" x14ac:dyDescent="0.25">
      <c r="A21" s="14" t="s">
        <v>110</v>
      </c>
      <c r="B21" s="7">
        <v>900</v>
      </c>
      <c r="C21" s="7">
        <v>945</v>
      </c>
      <c r="D21" s="9">
        <f>IFERROR((C21-B21)/B21,0)</f>
      </c>
    </row>
    <row r="22" spans="1:4" x14ac:dyDescent="0.25">
      <c r="A22" s="16" t="s">
        <v>111</v>
      </c>
      <c r="B22" s="17">
        <f>SUM(B16:B21)</f>
      </c>
      <c r="C22" s="17">
        <f>SUM(C16:C21)</f>
      </c>
      <c r="D22" s="9">
        <f>IFERROR((C22-B22)/B22,0)</f>
      </c>
    </row>
    <row r="23" spans="1:4" x14ac:dyDescent="0.25">
      <c r="A23" s="16" t="s">
        <v>112</v>
      </c>
      <c r="B23" s="18">
        <f>B13-B22</f>
      </c>
      <c r="C23" s="18">
        <f>C13-C22</f>
      </c>
      <c r="D23" s="9">
        <f>IFERROR((C23-B23)/B23,0)</f>
      </c>
    </row>
    <row r="24" spans="1:4" x14ac:dyDescent="0.25">
      <c r="A24" s="14" t="s">
        <v>113</v>
      </c>
      <c r="B24" s="9">
        <f>IFERROR(B23/B6,0)</f>
      </c>
      <c r="C24" s="9">
        <f>IFERROR(C23/C6,0)</f>
      </c>
      <c r="D24" s="9">
        <f>IFERROR((C24-B24)/B24,0)</f>
      </c>
    </row>
  </sheetData>
  <mergeCells count="4">
    <mergeCell ref="A1:D1"/>
    <mergeCell ref="A3:D3"/>
    <mergeCell ref="A7:D7"/>
    <mergeCell ref="A15:D15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11" width="13" customWidth="1"/>
    <col min="12" max="12" width="14" customWidth="1"/>
  </cols>
  <sheetData>
    <row r="1" ht="28" customHeight="1" spans="1:12" x14ac:dyDescent="0.25">
      <c r="A1" s="10" t="s">
        <v>114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5" x14ac:dyDescent="0.25">
      <c r="A2" s="16" t="s">
        <v>115</v>
      </c>
      <c r="B2" s="18">
        <v>5000</v>
      </c>
      <c r="N2" s="7">
        <v>5000</v>
      </c>
      <c r="O2" s="15" t="s">
        <v>116</v>
      </c>
    </row>
    <row r="3" ht="24" customHeight="1" spans="1:12" x14ac:dyDescent="0.25">
      <c r="A3" s="1" t="s">
        <v>0</v>
      </c>
      <c r="B3" s="1" t="s">
        <v>117</v>
      </c>
      <c r="C3" s="1" t="s">
        <v>118</v>
      </c>
      <c r="D3" s="1" t="s">
        <v>119</v>
      </c>
      <c r="E3" s="1" t="s">
        <v>120</v>
      </c>
      <c r="F3" s="1" t="s">
        <v>121</v>
      </c>
      <c r="G3" s="1" t="s">
        <v>106</v>
      </c>
      <c r="H3" s="1" t="s">
        <v>105</v>
      </c>
      <c r="I3" s="1" t="s">
        <v>107</v>
      </c>
      <c r="J3" s="1" t="s">
        <v>122</v>
      </c>
      <c r="K3" s="1" t="s">
        <v>123</v>
      </c>
      <c r="L3" s="1" t="s">
        <v>124</v>
      </c>
    </row>
    <row r="4" spans="1:12" x14ac:dyDescent="0.25">
      <c r="A4" s="2">
        <v>46174</v>
      </c>
      <c r="B4" s="7">
        <v>15000</v>
      </c>
      <c r="C4" s="7">
        <f>SUMIFS('DAILY SALES LOG'!$G$2:$G$500,'DAILY SALES LOG'!$A$2:$A$500,A4,'DAILY SALES LOG'!$H$2:$H$500,"Cash")</f>
      </c>
      <c r="D4" s="7">
        <f>SUMIFS('DAILY SALES LOG'!$G$2:$G$500,'DAILY SALES LOG'!$A$2:$A$500,A4,'DAILY SALES LOG'!$H$2:$H$500,"Mobile Money")</f>
      </c>
      <c r="E4" s="7">
        <v>0</v>
      </c>
      <c r="F4" s="7">
        <v>1200</v>
      </c>
      <c r="G4" s="7">
        <v>0</v>
      </c>
      <c r="H4" s="7">
        <v>8000</v>
      </c>
      <c r="I4" s="7">
        <v>0</v>
      </c>
      <c r="J4" s="7">
        <v>0</v>
      </c>
      <c r="K4" s="7">
        <v>0</v>
      </c>
      <c r="L4" s="18">
        <f>B4+C4+D4+E4-F4-G4-H4-I4-J4-K4</f>
      </c>
    </row>
    <row r="5" spans="1:12" x14ac:dyDescent="0.25">
      <c r="A5" s="2">
        <v>46175</v>
      </c>
      <c r="B5" s="7">
        <f>L4</f>
      </c>
      <c r="C5" s="7">
        <f>SUMIFS('DAILY SALES LOG'!$G$2:$G$500,'DAILY SALES LOG'!$A$2:$A$500,A5,'DAILY SALES LOG'!$H$2:$H$500,"Cash")</f>
      </c>
      <c r="D5" s="7">
        <f>SUMIFS('DAILY SALES LOG'!$G$2:$G$500,'DAILY SALES LOG'!$A$2:$A$500,A5,'DAILY SALES LOG'!$H$2:$H$500,"Mobile Money")</f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18">
        <f>B5+C5+D5+E5-F5-G5-H5-I5-J5-K5</f>
      </c>
    </row>
    <row r="6" spans="1:12" x14ac:dyDescent="0.25">
      <c r="A6" s="2">
        <v>46176</v>
      </c>
      <c r="B6" s="7">
        <f>L5</f>
      </c>
      <c r="C6" s="7">
        <f>SUMIFS('DAILY SALES LOG'!$G$2:$G$500,'DAILY SALES LOG'!$A$2:$A$500,A6,'DAILY SALES LOG'!$H$2:$H$500,"Cash")</f>
      </c>
      <c r="D6" s="7">
        <f>SUMIFS('DAILY SALES LOG'!$G$2:$G$500,'DAILY SALES LOG'!$A$2:$A$500,A6,'DAILY SALES LOG'!$H$2:$H$500,"Mobile Money")</f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18">
        <f>B6+C6+D6+E6-F6-G6-H6-I6-J6-K6</f>
      </c>
    </row>
    <row r="7" spans="1:12" x14ac:dyDescent="0.25">
      <c r="A7" s="2">
        <v>46177</v>
      </c>
      <c r="B7" s="7">
        <f>L6</f>
      </c>
      <c r="C7" s="7">
        <f>SUMIFS('DAILY SALES LOG'!$G$2:$G$500,'DAILY SALES LOG'!$A$2:$A$500,A7,'DAILY SALES LOG'!$H$2:$H$500,"Cash")</f>
      </c>
      <c r="D7" s="7">
        <f>SUMIFS('DAILY SALES LOG'!$G$2:$G$500,'DAILY SALES LOG'!$A$2:$A$500,A7,'DAILY SALES LOG'!$H$2:$H$500,"Mobile Money")</f>
      </c>
      <c r="E7" s="7">
        <v>0</v>
      </c>
      <c r="F7" s="7">
        <v>1200</v>
      </c>
      <c r="G7" s="7">
        <v>0</v>
      </c>
      <c r="H7" s="7">
        <v>0</v>
      </c>
      <c r="I7" s="7">
        <v>600</v>
      </c>
      <c r="J7" s="7">
        <v>0</v>
      </c>
      <c r="K7" s="7">
        <v>0</v>
      </c>
      <c r="L7" s="18">
        <f>B7+C7+D7+E7-F7-G7-H7-I7-J7-K7</f>
      </c>
    </row>
    <row r="8" spans="1:12" x14ac:dyDescent="0.25">
      <c r="A8" s="2">
        <v>46178</v>
      </c>
      <c r="B8" s="7">
        <f>L7</f>
      </c>
      <c r="C8" s="7">
        <f>SUMIFS('DAILY SALES LOG'!$G$2:$G$500,'DAILY SALES LOG'!$A$2:$A$500,A8,'DAILY SALES LOG'!$H$2:$H$500,"Cash")</f>
      </c>
      <c r="D8" s="7">
        <f>SUMIFS('DAILY SALES LOG'!$G$2:$G$500,'DAILY SALES LOG'!$A$2:$A$500,A8,'DAILY SALES LOG'!$H$2:$H$500,"Mobile Money")</f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18">
        <f>B8+C8+D8+E8-F8-G8-H8-I8-J8-K8</f>
      </c>
    </row>
    <row r="9" spans="1:12" x14ac:dyDescent="0.25">
      <c r="A9" s="2">
        <v>46179</v>
      </c>
      <c r="B9" s="7">
        <f>L8</f>
      </c>
      <c r="C9" s="7">
        <f>SUMIFS('DAILY SALES LOG'!$G$2:$G$500,'DAILY SALES LOG'!$A$2:$A$500,A9,'DAILY SALES LOG'!$H$2:$H$500,"Cash")</f>
      </c>
      <c r="D9" s="7">
        <f>SUMIFS('DAILY SALES LOG'!$G$2:$G$500,'DAILY SALES LOG'!$A$2:$A$500,A9,'DAILY SALES LOG'!$H$2:$H$500,"Mobile Money")</f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800</v>
      </c>
      <c r="K9" s="7">
        <v>0</v>
      </c>
      <c r="L9" s="18">
        <f>B9+C9+D9+E9-F9-G9-H9-I9-J9-K9</f>
      </c>
    </row>
    <row r="10" spans="1:12" x14ac:dyDescent="0.25">
      <c r="A10" s="2">
        <v>46180</v>
      </c>
      <c r="B10" s="7">
        <f>L9</f>
      </c>
      <c r="C10" s="7">
        <f>SUMIFS('DAILY SALES LOG'!$G$2:$G$500,'DAILY SALES LOG'!$A$2:$A$500,A10,'DAILY SALES LOG'!$H$2:$H$500,"Cash")</f>
      </c>
      <c r="D10" s="7">
        <f>SUMIFS('DAILY SALES LOG'!$G$2:$G$500,'DAILY SALES LOG'!$A$2:$A$500,A10,'DAILY SALES LOG'!$H$2:$H$500,"Mobile Money")</f>
      </c>
      <c r="E10" s="7">
        <v>0</v>
      </c>
      <c r="F10" s="7">
        <v>1200</v>
      </c>
      <c r="G10" s="7">
        <v>5500</v>
      </c>
      <c r="H10" s="7">
        <v>0</v>
      </c>
      <c r="I10" s="7">
        <v>0</v>
      </c>
      <c r="J10" s="7">
        <v>0</v>
      </c>
      <c r="K10" s="7">
        <v>0</v>
      </c>
      <c r="L10" s="18">
        <f>B10+C10+D10+E10-F10-G10-H10-I10-J10-K10</f>
      </c>
    </row>
    <row r="11" spans="1:12" x14ac:dyDescent="0.25">
      <c r="A11" s="2">
        <v>46181</v>
      </c>
      <c r="B11" s="7">
        <f>L10</f>
      </c>
      <c r="C11" s="7">
        <f>SUMIFS('DAILY SALES LOG'!$G$2:$G$500,'DAILY SALES LOG'!$A$2:$A$500,A11,'DAILY SALES LOG'!$H$2:$H$500,"Cash")</f>
      </c>
      <c r="D11" s="7">
        <f>SUMIFS('DAILY SALES LOG'!$G$2:$G$500,'DAILY SALES LOG'!$A$2:$A$500,A11,'DAILY SALES LOG'!$H$2:$H$500,"Mobile Money")</f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18">
        <f>B11+C11+D11+E11-F11-G11-H11-I11-J11-K11</f>
      </c>
    </row>
    <row r="12" spans="1:12" x14ac:dyDescent="0.25">
      <c r="A12" s="2">
        <v>46182</v>
      </c>
      <c r="B12" s="7">
        <f>L11</f>
      </c>
      <c r="C12" s="7">
        <f>SUMIFS('DAILY SALES LOG'!$G$2:$G$500,'DAILY SALES LOG'!$A$2:$A$500,A12,'DAILY SALES LOG'!$H$2:$H$500,"Cash")</f>
      </c>
      <c r="D12" s="7">
        <f>SUMIFS('DAILY SALES LOG'!$G$2:$G$500,'DAILY SALES LOG'!$A$2:$A$500,A12,'DAILY SALES LOG'!$H$2:$H$500,"Mobile Money")</f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18">
        <f>B12+C12+D12+E12-F12-G12-H12-I12-J12-K12</f>
      </c>
    </row>
    <row r="13" spans="1:12" x14ac:dyDescent="0.25">
      <c r="A13" s="2">
        <v>46183</v>
      </c>
      <c r="B13" s="7">
        <f>L12</f>
      </c>
      <c r="C13" s="7">
        <f>SUMIFS('DAILY SALES LOG'!$G$2:$G$500,'DAILY SALES LOG'!$A$2:$A$500,A13,'DAILY SALES LOG'!$H$2:$H$500,"Cash")</f>
      </c>
      <c r="D13" s="7">
        <f>SUMIFS('DAILY SALES LOG'!$G$2:$G$500,'DAILY SALES LOG'!$A$2:$A$500,A13,'DAILY SALES LOG'!$H$2:$H$500,"Mobile Money")</f>
      </c>
      <c r="E13" s="7">
        <v>0</v>
      </c>
      <c r="F13" s="7">
        <v>1200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18">
        <f>B13+C13+D13+E13-F13-G13-H13-I13-J13-K13</f>
      </c>
    </row>
    <row r="14" spans="1:12" x14ac:dyDescent="0.25">
      <c r="A14" s="2">
        <v>46184</v>
      </c>
      <c r="B14" s="7">
        <f>L13</f>
      </c>
      <c r="C14" s="7">
        <f>SUMIFS('DAILY SALES LOG'!$G$2:$G$500,'DAILY SALES LOG'!$A$2:$A$500,A14,'DAILY SALES LOG'!$H$2:$H$500,"Cash")</f>
      </c>
      <c r="D14" s="7">
        <f>SUMIFS('DAILY SALES LOG'!$G$2:$G$500,'DAILY SALES LOG'!$A$2:$A$500,A14,'DAILY SALES LOG'!$H$2:$H$500,"Mobile Money")</f>
      </c>
      <c r="E14" s="7">
        <v>0</v>
      </c>
      <c r="F14" s="7">
        <v>0</v>
      </c>
      <c r="G14" s="7">
        <v>0</v>
      </c>
      <c r="H14" s="7">
        <v>0</v>
      </c>
      <c r="I14" s="7">
        <v>600</v>
      </c>
      <c r="J14" s="7">
        <v>0</v>
      </c>
      <c r="K14" s="7">
        <v>0</v>
      </c>
      <c r="L14" s="18">
        <f>B14+C14+D14+E14-F14-G14-H14-I14-J14-K14</f>
      </c>
    </row>
    <row r="15" spans="1:12" x14ac:dyDescent="0.25">
      <c r="A15" s="2">
        <v>46185</v>
      </c>
      <c r="B15" s="7">
        <f>L14</f>
      </c>
      <c r="C15" s="7">
        <f>SUMIFS('DAILY SALES LOG'!$G$2:$G$500,'DAILY SALES LOG'!$A$2:$A$500,A15,'DAILY SALES LOG'!$H$2:$H$500,"Cash")</f>
      </c>
      <c r="D15" s="7">
        <f>SUMIFS('DAILY SALES LOG'!$G$2:$G$500,'DAILY SALES LOG'!$A$2:$A$500,A15,'DAILY SALES LOG'!$H$2:$H$500,"Mobile Money")</f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18">
        <f>B15+C15+D15+E15-F15-G15-H15-I15-J15-K15</f>
      </c>
    </row>
    <row r="16" spans="1:12" x14ac:dyDescent="0.25">
      <c r="A16" s="2">
        <v>46186</v>
      </c>
      <c r="B16" s="7">
        <f>L15</f>
      </c>
      <c r="C16" s="7">
        <f>SUMIFS('DAILY SALES LOG'!$G$2:$G$500,'DAILY SALES LOG'!$A$2:$A$500,A16,'DAILY SALES LOG'!$H$2:$H$500,"Cash")</f>
      </c>
      <c r="D16" s="7">
        <f>SUMIFS('DAILY SALES LOG'!$G$2:$G$500,'DAILY SALES LOG'!$A$2:$A$500,A16,'DAILY SALES LOG'!$H$2:$H$500,"Mobile Money")</f>
      </c>
      <c r="E16" s="7">
        <v>0</v>
      </c>
      <c r="F16" s="7">
        <v>1200</v>
      </c>
      <c r="G16" s="7">
        <v>0</v>
      </c>
      <c r="H16" s="7">
        <v>0</v>
      </c>
      <c r="I16" s="7">
        <v>0</v>
      </c>
      <c r="J16" s="7">
        <v>800</v>
      </c>
      <c r="K16" s="7">
        <v>0</v>
      </c>
      <c r="L16" s="18">
        <f>B16+C16+D16+E16-F16-G16-H16-I16-J16-K16</f>
      </c>
    </row>
    <row r="17" spans="1:12" x14ac:dyDescent="0.25">
      <c r="A17" s="2">
        <v>46187</v>
      </c>
      <c r="B17" s="7">
        <f>L16</f>
      </c>
      <c r="C17" s="7">
        <f>SUMIFS('DAILY SALES LOG'!$G$2:$G$500,'DAILY SALES LOG'!$A$2:$A$500,A17,'DAILY SALES LOG'!$H$2:$H$500,"Cash")</f>
      </c>
      <c r="D17" s="7">
        <f>SUMIFS('DAILY SALES LOG'!$G$2:$G$500,'DAILY SALES LOG'!$A$2:$A$500,A17,'DAILY SALES LOG'!$H$2:$H$500,"Mobile Money")</f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18">
        <f>B17+C17+D17+E17-F17-G17-H17-I17-J17-K17</f>
      </c>
    </row>
    <row r="18" spans="1:12" x14ac:dyDescent="0.25">
      <c r="A18" s="2">
        <v>46188</v>
      </c>
      <c r="B18" s="7">
        <f>L17</f>
      </c>
      <c r="C18" s="7">
        <f>SUMIFS('DAILY SALES LOG'!$G$2:$G$500,'DAILY SALES LOG'!$A$2:$A$500,A18,'DAILY SALES LOG'!$H$2:$H$500,"Cash")</f>
      </c>
      <c r="D18" s="7">
        <f>SUMIFS('DAILY SALES LOG'!$G$2:$G$500,'DAILY SALES LOG'!$A$2:$A$500,A18,'DAILY SALES LOG'!$H$2:$H$500,"Mobile Money")</f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18">
        <f>B18+C18+D18+E18-F18-G18-H18-I18-J18-K18</f>
      </c>
    </row>
    <row r="19" spans="1:12" x14ac:dyDescent="0.25">
      <c r="A19" s="2">
        <v>46189</v>
      </c>
      <c r="B19" s="7">
        <f>L18</f>
      </c>
      <c r="C19" s="7">
        <f>SUMIFS('DAILY SALES LOG'!$G$2:$G$500,'DAILY SALES LOG'!$A$2:$A$500,A19,'DAILY SALES LOG'!$H$2:$H$500,"Cash")</f>
      </c>
      <c r="D19" s="7">
        <f>SUMIFS('DAILY SALES LOG'!$G$2:$G$500,'DAILY SALES LOG'!$A$2:$A$500,A19,'DAILY SALES LOG'!$H$2:$H$500,"Mobile Money")</f>
      </c>
      <c r="E19" s="7">
        <v>0</v>
      </c>
      <c r="F19" s="7">
        <v>1200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18">
        <f>B19+C19+D19+E19-F19-G19-H19-I19-J19-K19</f>
      </c>
    </row>
    <row r="20" spans="1:12" x14ac:dyDescent="0.25">
      <c r="A20" s="2">
        <v>46190</v>
      </c>
      <c r="B20" s="7">
        <f>L19</f>
      </c>
      <c r="C20" s="7">
        <f>SUMIFS('DAILY SALES LOG'!$G$2:$G$500,'DAILY SALES LOG'!$A$2:$A$500,A20,'DAILY SALES LOG'!$H$2:$H$500,"Cash")</f>
      </c>
      <c r="D20" s="7">
        <f>SUMIFS('DAILY SALES LOG'!$G$2:$G$500,'DAILY SALES LOG'!$A$2:$A$500,A20,'DAILY SALES LOG'!$H$2:$H$500,"Mobile Money")</f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18">
        <f>B20+C20+D20+E20-F20-G20-H20-I20-J20-K20</f>
      </c>
    </row>
    <row r="21" spans="1:12" x14ac:dyDescent="0.25">
      <c r="A21" s="2">
        <v>46191</v>
      </c>
      <c r="B21" s="7">
        <f>L20</f>
      </c>
      <c r="C21" s="7">
        <f>SUMIFS('DAILY SALES LOG'!$G$2:$G$500,'DAILY SALES LOG'!$A$2:$A$500,A21,'DAILY SALES LOG'!$H$2:$H$500,"Cash")</f>
      </c>
      <c r="D21" s="7">
        <f>SUMIFS('DAILY SALES LOG'!$G$2:$G$500,'DAILY SALES LOG'!$A$2:$A$500,A21,'DAILY SALES LOG'!$H$2:$H$500,"Mobile Money")</f>
      </c>
      <c r="E21" s="7">
        <v>0</v>
      </c>
      <c r="F21" s="7">
        <v>0</v>
      </c>
      <c r="G21" s="7">
        <v>0</v>
      </c>
      <c r="H21" s="7">
        <v>0</v>
      </c>
      <c r="I21" s="7">
        <v>600</v>
      </c>
      <c r="J21" s="7">
        <v>0</v>
      </c>
      <c r="K21" s="7">
        <v>0</v>
      </c>
      <c r="L21" s="18">
        <f>B21+C21+D21+E21-F21-G21-H21-I21-J21-K21</f>
      </c>
    </row>
    <row r="22" spans="1:12" x14ac:dyDescent="0.25">
      <c r="A22" s="2">
        <v>46192</v>
      </c>
      <c r="B22" s="7">
        <f>L21</f>
      </c>
      <c r="C22" s="7">
        <f>SUMIFS('DAILY SALES LOG'!$G$2:$G$500,'DAILY SALES LOG'!$A$2:$A$500,A22,'DAILY SALES LOG'!$H$2:$H$500,"Cash")</f>
      </c>
      <c r="D22" s="7">
        <f>SUMIFS('DAILY SALES LOG'!$G$2:$G$500,'DAILY SALES LOG'!$A$2:$A$500,A22,'DAILY SALES LOG'!$H$2:$H$500,"Mobile Money")</f>
      </c>
      <c r="E22" s="7">
        <v>0</v>
      </c>
      <c r="F22" s="7">
        <v>1200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18">
        <f>B22+C22+D22+E22-F22-G22-H22-I22-J22-K22</f>
      </c>
    </row>
    <row r="23" spans="1:12" x14ac:dyDescent="0.25">
      <c r="A23" s="2">
        <v>46193</v>
      </c>
      <c r="B23" s="7">
        <f>L22</f>
      </c>
      <c r="C23" s="7">
        <f>SUMIFS('DAILY SALES LOG'!$G$2:$G$500,'DAILY SALES LOG'!$A$2:$A$500,A23,'DAILY SALES LOG'!$H$2:$H$500,"Cash")</f>
      </c>
      <c r="D23" s="7">
        <f>SUMIFS('DAILY SALES LOG'!$G$2:$G$500,'DAILY SALES LOG'!$A$2:$A$500,A23,'DAILY SALES LOG'!$H$2:$H$500,"Mobile Money")</f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800</v>
      </c>
      <c r="K23" s="7">
        <v>0</v>
      </c>
      <c r="L23" s="18">
        <f>B23+C23+D23+E23-F23-G23-H23-I23-J23-K23</f>
      </c>
    </row>
    <row r="24" spans="1:12" x14ac:dyDescent="0.25">
      <c r="A24" s="2">
        <v>46194</v>
      </c>
      <c r="B24" s="7">
        <f>L23</f>
      </c>
      <c r="C24" s="7">
        <f>SUMIFS('DAILY SALES LOG'!$G$2:$G$500,'DAILY SALES LOG'!$A$2:$A$500,A24,'DAILY SALES LOG'!$H$2:$H$500,"Cash")</f>
      </c>
      <c r="D24" s="7">
        <f>SUMIFS('DAILY SALES LOG'!$G$2:$G$500,'DAILY SALES LOG'!$A$2:$A$500,A24,'DAILY SALES LOG'!$H$2:$H$500,"Mobile Money")</f>
      </c>
      <c r="E24" s="7">
        <v>0</v>
      </c>
      <c r="F24" s="7">
        <v>0</v>
      </c>
      <c r="G24" s="7">
        <v>5500</v>
      </c>
      <c r="H24" s="7">
        <v>0</v>
      </c>
      <c r="I24" s="7">
        <v>0</v>
      </c>
      <c r="J24" s="7">
        <v>0</v>
      </c>
      <c r="K24" s="7">
        <v>0</v>
      </c>
      <c r="L24" s="18">
        <f>B24+C24+D24+E24-F24-G24-H24-I24-J24-K24</f>
      </c>
    </row>
    <row r="25" spans="1:12" x14ac:dyDescent="0.25">
      <c r="A25" s="2">
        <v>46195</v>
      </c>
      <c r="B25" s="7">
        <f>L24</f>
      </c>
      <c r="C25" s="7">
        <f>SUMIFS('DAILY SALES LOG'!$G$2:$G$500,'DAILY SALES LOG'!$A$2:$A$500,A25,'DAILY SALES LOG'!$H$2:$H$500,"Cash")</f>
      </c>
      <c r="D25" s="7">
        <f>SUMIFS('DAILY SALES LOG'!$G$2:$G$500,'DAILY SALES LOG'!$A$2:$A$500,A25,'DAILY SALES LOG'!$H$2:$H$500,"Mobile Money")</f>
      </c>
      <c r="E25" s="7">
        <v>0</v>
      </c>
      <c r="F25" s="7">
        <v>1200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18">
        <f>B25+C25+D25+E25-F25-G25-H25-I25-J25-K25</f>
      </c>
    </row>
    <row r="26" spans="1:12" x14ac:dyDescent="0.25">
      <c r="A26" s="2">
        <v>46196</v>
      </c>
      <c r="B26" s="7">
        <f>L25</f>
      </c>
      <c r="C26" s="7">
        <f>SUMIFS('DAILY SALES LOG'!$G$2:$G$500,'DAILY SALES LOG'!$A$2:$A$500,A26,'DAILY SALES LOG'!$H$2:$H$500,"Cash")</f>
      </c>
      <c r="D26" s="7">
        <f>SUMIFS('DAILY SALES LOG'!$G$2:$G$500,'DAILY SALES LOG'!$A$2:$A$500,A26,'DAILY SALES LOG'!$H$2:$H$500,"Mobile Money")</f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18">
        <f>B26+C26+D26+E26-F26-G26-H26-I26-J26-K26</f>
      </c>
    </row>
    <row r="27" spans="1:12" x14ac:dyDescent="0.25">
      <c r="A27" s="2">
        <v>46197</v>
      </c>
      <c r="B27" s="7">
        <f>L26</f>
      </c>
      <c r="C27" s="7">
        <f>SUMIFS('DAILY SALES LOG'!$G$2:$G$500,'DAILY SALES LOG'!$A$2:$A$500,A27,'DAILY SALES LOG'!$H$2:$H$500,"Cash")</f>
      </c>
      <c r="D27" s="7">
        <f>SUMIFS('DAILY SALES LOG'!$G$2:$G$500,'DAILY SALES LOG'!$A$2:$A$500,A27,'DAILY SALES LOG'!$H$2:$H$500,"Mobile Money")</f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18">
        <f>B27+C27+D27+E27-F27-G27-H27-I27-J27-K27</f>
      </c>
    </row>
    <row r="28" spans="1:12" x14ac:dyDescent="0.25">
      <c r="A28" s="2">
        <v>46198</v>
      </c>
      <c r="B28" s="7">
        <f>L27</f>
      </c>
      <c r="C28" s="7">
        <f>SUMIFS('DAILY SALES LOG'!$G$2:$G$500,'DAILY SALES LOG'!$A$2:$A$500,A28,'DAILY SALES LOG'!$H$2:$H$500,"Cash")</f>
      </c>
      <c r="D28" s="7">
        <f>SUMIFS('DAILY SALES LOG'!$G$2:$G$500,'DAILY SALES LOG'!$A$2:$A$500,A28,'DAILY SALES LOG'!$H$2:$H$500,"Mobile Money")</f>
      </c>
      <c r="E28" s="7">
        <v>0</v>
      </c>
      <c r="F28" s="7">
        <v>1200</v>
      </c>
      <c r="G28" s="7">
        <v>0</v>
      </c>
      <c r="H28" s="7">
        <v>0</v>
      </c>
      <c r="I28" s="7">
        <v>600</v>
      </c>
      <c r="J28" s="7">
        <v>0</v>
      </c>
      <c r="K28" s="7">
        <v>0</v>
      </c>
      <c r="L28" s="18">
        <f>B28+C28+D28+E28-F28-G28-H28-I28-J28-K28</f>
      </c>
    </row>
    <row r="29" spans="1:12" x14ac:dyDescent="0.25">
      <c r="A29" s="2">
        <v>46199</v>
      </c>
      <c r="B29" s="7">
        <f>L28</f>
      </c>
      <c r="C29" s="7">
        <f>SUMIFS('DAILY SALES LOG'!$G$2:$G$500,'DAILY SALES LOG'!$A$2:$A$500,A29,'DAILY SALES LOG'!$H$2:$H$500,"Cash")</f>
      </c>
      <c r="D29" s="7">
        <f>SUMIFS('DAILY SALES LOG'!$G$2:$G$500,'DAILY SALES LOG'!$A$2:$A$500,A29,'DAILY SALES LOG'!$H$2:$H$500,"Mobile Money")</f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18">
        <f>B29+C29+D29+E29-F29-G29-H29-I29-J29-K29</f>
      </c>
    </row>
    <row r="30" spans="1:12" x14ac:dyDescent="0.25">
      <c r="A30" s="2">
        <v>46200</v>
      </c>
      <c r="B30" s="7">
        <f>L29</f>
      </c>
      <c r="C30" s="7">
        <f>SUMIFS('DAILY SALES LOG'!$G$2:$G$500,'DAILY SALES LOG'!$A$2:$A$500,A30,'DAILY SALES LOG'!$H$2:$H$500,"Cash")</f>
      </c>
      <c r="D30" s="7">
        <f>SUMIFS('DAILY SALES LOG'!$G$2:$G$500,'DAILY SALES LOG'!$A$2:$A$500,A30,'DAILY SALES LOG'!$H$2:$H$500,"Mobile Money")</f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800</v>
      </c>
      <c r="K30" s="7">
        <v>0</v>
      </c>
      <c r="L30" s="18">
        <f>B30+C30+D30+E30-F30-G30-H30-I30-J30-K30</f>
      </c>
    </row>
    <row r="31" spans="1:12" x14ac:dyDescent="0.25">
      <c r="A31" s="2">
        <v>46201</v>
      </c>
      <c r="B31" s="7">
        <f>L30</f>
      </c>
      <c r="C31" s="7">
        <f>SUMIFS('DAILY SALES LOG'!$G$2:$G$500,'DAILY SALES LOG'!$A$2:$A$500,A31,'DAILY SALES LOG'!$H$2:$H$500,"Cash")</f>
      </c>
      <c r="D31" s="7">
        <f>SUMIFS('DAILY SALES LOG'!$G$2:$G$500,'DAILY SALES LOG'!$A$2:$A$500,A31,'DAILY SALES LOG'!$H$2:$H$500,"Mobile Money")</f>
      </c>
      <c r="E31" s="7">
        <v>0</v>
      </c>
      <c r="F31" s="7">
        <v>1200</v>
      </c>
      <c r="G31" s="7">
        <v>0</v>
      </c>
      <c r="H31" s="7">
        <v>8000</v>
      </c>
      <c r="I31" s="7">
        <v>0</v>
      </c>
      <c r="J31" s="7">
        <v>0</v>
      </c>
      <c r="K31" s="7">
        <v>0</v>
      </c>
      <c r="L31" s="18">
        <f>B31+C31+D31+E31-F31-G31-H31-I31-J31-K31</f>
      </c>
    </row>
  </sheetData>
  <mergeCells count="1">
    <mergeCell ref="A1:L1"/>
  </mergeCells>
  <conditionalFormatting sqref="L4:L31">
    <cfRule type="cellIs" dxfId="0" priority="1" operator="lessThan">
      <formula>$N$2</formula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26" customWidth="1"/>
    <col min="3" max="3" width="16" customWidth="1"/>
    <col min="4" max="4" width="12" customWidth="1"/>
    <col min="5" max="5" width="13" customWidth="1"/>
    <col min="6" max="6" width="11" customWidth="1"/>
    <col min="7" max="8" width="12" customWidth="1"/>
    <col min="9" max="9" width="11" customWidth="1"/>
    <col min="10" max="10" width="12" customWidth="1"/>
    <col min="11" max="11" width="13" customWidth="1"/>
    <col min="12" max="12" width="12" customWidth="1"/>
    <col min="13" max="13" width="13" customWidth="1"/>
  </cols>
  <sheetData>
    <row r="1" ht="28" customHeight="1" spans="1:13" x14ac:dyDescent="0.25">
      <c r="A1" s="10" t="s">
        <v>125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ht="24" customHeight="1" spans="1:16" x14ac:dyDescent="0.25">
      <c r="A2" s="1" t="s">
        <v>126</v>
      </c>
      <c r="B2" s="1" t="s">
        <v>127</v>
      </c>
      <c r="C2" s="1" t="s">
        <v>3</v>
      </c>
      <c r="D2" s="1" t="s">
        <v>128</v>
      </c>
      <c r="E2" s="1" t="s">
        <v>129</v>
      </c>
      <c r="F2" s="1" t="s">
        <v>130</v>
      </c>
      <c r="G2" s="1" t="s">
        <v>131</v>
      </c>
      <c r="H2" s="1" t="s">
        <v>132</v>
      </c>
      <c r="I2" s="1" t="s">
        <v>82</v>
      </c>
      <c r="J2" s="1" t="s">
        <v>133</v>
      </c>
      <c r="K2" s="1" t="s">
        <v>134</v>
      </c>
      <c r="L2" s="1" t="s">
        <v>135</v>
      </c>
      <c r="M2" s="1" t="s">
        <v>136</v>
      </c>
      <c r="N2" s="1" t="s">
        <v>9</v>
      </c>
      <c r="P2" s="11" t="s">
        <v>137</v>
      </c>
    </row>
    <row r="3" spans="1:16" x14ac:dyDescent="0.25">
      <c r="A3" s="3" t="s">
        <v>138</v>
      </c>
      <c r="B3" s="3" t="s">
        <v>11</v>
      </c>
      <c r="C3" s="3" t="s">
        <v>12</v>
      </c>
      <c r="D3" s="4">
        <v>80</v>
      </c>
      <c r="E3" s="4">
        <v>250</v>
      </c>
      <c r="F3" s="19">
        <f>IFERROR((E3-D3)/D3,0)</f>
      </c>
      <c r="G3" s="20">
        <v>18</v>
      </c>
      <c r="H3" s="20">
        <v>6</v>
      </c>
      <c r="I3" s="20">
        <v>11</v>
      </c>
      <c r="J3" s="20">
        <f>G3+H3-I3</f>
      </c>
      <c r="K3" s="20">
        <v>5</v>
      </c>
      <c r="L3" s="20">
        <f>IF(J3&lt;=K3,K3*2-J3,0)</f>
      </c>
      <c r="M3" s="4">
        <f>J3*D3</f>
      </c>
      <c r="N3" s="3" t="s">
        <v>15</v>
      </c>
      <c r="P3" s="13">
        <f>I3*E3</f>
      </c>
    </row>
    <row r="4" spans="1:16" x14ac:dyDescent="0.25">
      <c r="A4" s="3" t="s">
        <v>139</v>
      </c>
      <c r="B4" s="3" t="s">
        <v>42</v>
      </c>
      <c r="C4" s="3" t="s">
        <v>12</v>
      </c>
      <c r="D4" s="4">
        <v>95</v>
      </c>
      <c r="E4" s="4">
        <v>280</v>
      </c>
      <c r="F4" s="19">
        <f>IFERROR((E4-D4)/D4,0)</f>
      </c>
      <c r="G4" s="20">
        <v>12</v>
      </c>
      <c r="H4" s="20">
        <v>4</v>
      </c>
      <c r="I4" s="20">
        <v>9</v>
      </c>
      <c r="J4" s="20">
        <f>G4+H4-I4</f>
      </c>
      <c r="K4" s="20">
        <v>5</v>
      </c>
      <c r="L4" s="20">
        <f>IF(J4&lt;=K4,K4*2-J4,0)</f>
      </c>
      <c r="M4" s="4">
        <f>J4*D4</f>
      </c>
      <c r="N4" s="3" t="s">
        <v>15</v>
      </c>
      <c r="P4" s="13">
        <f>I4*E4</f>
      </c>
    </row>
    <row r="5" spans="1:16" x14ac:dyDescent="0.25">
      <c r="A5" s="3" t="s">
        <v>140</v>
      </c>
      <c r="B5" s="3" t="s">
        <v>57</v>
      </c>
      <c r="C5" s="3" t="s">
        <v>12</v>
      </c>
      <c r="D5" s="4">
        <v>70</v>
      </c>
      <c r="E5" s="4">
        <v>220</v>
      </c>
      <c r="F5" s="19">
        <f>IFERROR((E5-D5)/D5,0)</f>
      </c>
      <c r="G5" s="20">
        <v>20</v>
      </c>
      <c r="H5" s="20">
        <v>8</v>
      </c>
      <c r="I5" s="20">
        <v>14</v>
      </c>
      <c r="J5" s="20">
        <f>G5+H5-I5</f>
      </c>
      <c r="K5" s="20">
        <v>5</v>
      </c>
      <c r="L5" s="20">
        <f>IF(J5&lt;=K5,K5*2-J5,0)</f>
      </c>
      <c r="M5" s="4">
        <f>J5*D5</f>
      </c>
      <c r="N5" s="3" t="s">
        <v>15</v>
      </c>
      <c r="P5" s="13">
        <f>I5*E5</f>
      </c>
    </row>
    <row r="6" spans="1:16" x14ac:dyDescent="0.25">
      <c r="A6" s="3" t="s">
        <v>141</v>
      </c>
      <c r="B6" s="3" t="s">
        <v>16</v>
      </c>
      <c r="C6" s="3" t="s">
        <v>12</v>
      </c>
      <c r="D6" s="4">
        <v>110</v>
      </c>
      <c r="E6" s="4">
        <v>340</v>
      </c>
      <c r="F6" s="19">
        <f>IFERROR((E6-D6)/D6,0)</f>
      </c>
      <c r="G6" s="20">
        <v>10</v>
      </c>
      <c r="H6" s="20">
        <v>3</v>
      </c>
      <c r="I6" s="20">
        <v>6</v>
      </c>
      <c r="J6" s="20">
        <f>G6+H6-I6</f>
      </c>
      <c r="K6" s="20">
        <v>5</v>
      </c>
      <c r="L6" s="20">
        <f>IF(J6&lt;=K6,K6*2-J6,0)</f>
      </c>
      <c r="M6" s="4">
        <f>J6*D6</f>
      </c>
      <c r="N6" s="3" t="s">
        <v>15</v>
      </c>
      <c r="P6" s="13">
        <f>I6*E6</f>
      </c>
    </row>
    <row r="7" spans="1:16" x14ac:dyDescent="0.25">
      <c r="A7" s="3" t="s">
        <v>142</v>
      </c>
      <c r="B7" s="3" t="s">
        <v>43</v>
      </c>
      <c r="C7" s="3" t="s">
        <v>12</v>
      </c>
      <c r="D7" s="4">
        <v>85</v>
      </c>
      <c r="E7" s="4">
        <v>260</v>
      </c>
      <c r="F7" s="19">
        <f>IFERROR((E7-D7)/D7,0)</f>
      </c>
      <c r="G7" s="20">
        <v>14</v>
      </c>
      <c r="H7" s="20">
        <v>5</v>
      </c>
      <c r="I7" s="20">
        <v>8</v>
      </c>
      <c r="J7" s="20">
        <f>G7+H7-I7</f>
      </c>
      <c r="K7" s="20">
        <v>5</v>
      </c>
      <c r="L7" s="20">
        <f>IF(J7&lt;=K7,K7*2-J7,0)</f>
      </c>
      <c r="M7" s="4">
        <f>J7*D7</f>
      </c>
      <c r="N7" s="3" t="s">
        <v>15</v>
      </c>
      <c r="P7" s="13">
        <f>I7*E7</f>
      </c>
    </row>
    <row r="8" spans="1:16" x14ac:dyDescent="0.25">
      <c r="A8" s="3" t="s">
        <v>143</v>
      </c>
      <c r="B8" s="3" t="s">
        <v>46</v>
      </c>
      <c r="C8" s="3" t="s">
        <v>12</v>
      </c>
      <c r="D8" s="4">
        <v>600</v>
      </c>
      <c r="E8" s="4">
        <v>2200</v>
      </c>
      <c r="F8" s="19">
        <f>IFERROR((E8-D8)/D8,0)</f>
      </c>
      <c r="G8" s="20">
        <v>4</v>
      </c>
      <c r="H8" s="20">
        <v>1</v>
      </c>
      <c r="I8" s="20">
        <v>3</v>
      </c>
      <c r="J8" s="20">
        <f>G8+H8-I8</f>
      </c>
      <c r="K8" s="20">
        <v>5</v>
      </c>
      <c r="L8" s="20">
        <f>IF(J8&lt;=K8,K8*2-J8,0)</f>
      </c>
      <c r="M8" s="4">
        <f>J8*D8</f>
      </c>
      <c r="N8" s="3" t="s">
        <v>15</v>
      </c>
      <c r="P8" s="13">
        <f>I8*E8</f>
      </c>
    </row>
    <row r="9" spans="1:16" x14ac:dyDescent="0.25">
      <c r="A9" s="3" t="s">
        <v>144</v>
      </c>
      <c r="B9" s="3" t="s">
        <v>18</v>
      </c>
      <c r="C9" s="3" t="s">
        <v>12</v>
      </c>
      <c r="D9" s="4">
        <v>450</v>
      </c>
      <c r="E9" s="4">
        <v>1500</v>
      </c>
      <c r="F9" s="19">
        <f>IFERROR((E9-D9)/D9,0)</f>
      </c>
      <c r="G9" s="20">
        <v>3</v>
      </c>
      <c r="H9" s="20">
        <v>0</v>
      </c>
      <c r="I9" s="20">
        <v>1</v>
      </c>
      <c r="J9" s="20">
        <f>G9+H9-I9</f>
      </c>
      <c r="K9" s="20">
        <v>5</v>
      </c>
      <c r="L9" s="20">
        <f>IF(J9&lt;=K9,K9*2-J9,0)</f>
      </c>
      <c r="M9" s="4">
        <f>J9*D9</f>
      </c>
      <c r="N9" s="3" t="s">
        <v>15</v>
      </c>
      <c r="P9" s="13">
        <f>I9*E9</f>
      </c>
    </row>
    <row r="10" spans="1:16" x14ac:dyDescent="0.25">
      <c r="A10" s="3" t="s">
        <v>145</v>
      </c>
      <c r="B10" s="3" t="s">
        <v>21</v>
      </c>
      <c r="C10" s="3" t="s">
        <v>12</v>
      </c>
      <c r="D10" s="4">
        <v>320</v>
      </c>
      <c r="E10" s="4">
        <v>950</v>
      </c>
      <c r="F10" s="19">
        <f>IFERROR((E10-D10)/D10,0)</f>
      </c>
      <c r="G10" s="20">
        <v>6</v>
      </c>
      <c r="H10" s="20">
        <v>2</v>
      </c>
      <c r="I10" s="20">
        <v>4</v>
      </c>
      <c r="J10" s="20">
        <f>G10+H10-I10</f>
      </c>
      <c r="K10" s="20">
        <v>5</v>
      </c>
      <c r="L10" s="20">
        <f>IF(J10&lt;=K10,K10*2-J10,0)</f>
      </c>
      <c r="M10" s="4">
        <f>J10*D10</f>
      </c>
      <c r="N10" s="3" t="s">
        <v>15</v>
      </c>
      <c r="P10" s="13">
        <f>I10*E10</f>
      </c>
    </row>
    <row r="11" spans="1:16" x14ac:dyDescent="0.25">
      <c r="A11" s="3" t="s">
        <v>146</v>
      </c>
      <c r="B11" s="3" t="s">
        <v>47</v>
      </c>
      <c r="C11" s="3" t="s">
        <v>23</v>
      </c>
      <c r="D11" s="4">
        <v>180</v>
      </c>
      <c r="E11" s="4">
        <v>480</v>
      </c>
      <c r="F11" s="19">
        <f>IFERROR((E11-D11)/D11,0)</f>
      </c>
      <c r="G11" s="20">
        <v>22</v>
      </c>
      <c r="H11" s="20">
        <v>10</v>
      </c>
      <c r="I11" s="20">
        <v>17</v>
      </c>
      <c r="J11" s="20">
        <f>G11+H11-I11</f>
      </c>
      <c r="K11" s="20">
        <v>5</v>
      </c>
      <c r="L11" s="20">
        <f>IF(J11&lt;=K11,K11*2-J11,0)</f>
      </c>
      <c r="M11" s="4">
        <f>J11*D11</f>
      </c>
      <c r="N11" s="3" t="s">
        <v>15</v>
      </c>
      <c r="P11" s="13">
        <f>I11*E11</f>
      </c>
    </row>
    <row r="12" spans="1:16" x14ac:dyDescent="0.25">
      <c r="A12" s="3" t="s">
        <v>147</v>
      </c>
      <c r="B12" s="3" t="s">
        <v>59</v>
      </c>
      <c r="C12" s="3" t="s">
        <v>23</v>
      </c>
      <c r="D12" s="4">
        <v>150</v>
      </c>
      <c r="E12" s="4">
        <v>420</v>
      </c>
      <c r="F12" s="19">
        <f>IFERROR((E12-D12)/D12,0)</f>
      </c>
      <c r="G12" s="20">
        <v>16</v>
      </c>
      <c r="H12" s="20">
        <v>6</v>
      </c>
      <c r="I12" s="20">
        <v>9</v>
      </c>
      <c r="J12" s="20">
        <f>G12+H12-I12</f>
      </c>
      <c r="K12" s="20">
        <v>5</v>
      </c>
      <c r="L12" s="20">
        <f>IF(J12&lt;=K12,K12*2-J12,0)</f>
      </c>
      <c r="M12" s="4">
        <f>J12*D12</f>
      </c>
      <c r="N12" s="3" t="s">
        <v>15</v>
      </c>
      <c r="P12" s="13">
        <f>I12*E12</f>
      </c>
    </row>
    <row r="13" spans="1:16" x14ac:dyDescent="0.25">
      <c r="A13" s="3" t="s">
        <v>148</v>
      </c>
      <c r="B13" s="3" t="s">
        <v>22</v>
      </c>
      <c r="C13" s="3" t="s">
        <v>23</v>
      </c>
      <c r="D13" s="4">
        <v>200</v>
      </c>
      <c r="E13" s="4">
        <v>540</v>
      </c>
      <c r="F13" s="19">
        <f>IFERROR((E13-D13)/D13,0)</f>
      </c>
      <c r="G13" s="20">
        <v>14</v>
      </c>
      <c r="H13" s="20">
        <v>6</v>
      </c>
      <c r="I13" s="20">
        <v>11</v>
      </c>
      <c r="J13" s="20">
        <f>G13+H13-I13</f>
      </c>
      <c r="K13" s="20">
        <v>5</v>
      </c>
      <c r="L13" s="20">
        <f>IF(J13&lt;=K13,K13*2-J13,0)</f>
      </c>
      <c r="M13" s="4">
        <f>J13*D13</f>
      </c>
      <c r="N13" s="3" t="s">
        <v>15</v>
      </c>
      <c r="P13" s="13">
        <f>I13*E13</f>
      </c>
    </row>
    <row r="14" spans="1:16" x14ac:dyDescent="0.25">
      <c r="A14" s="3" t="s">
        <v>149</v>
      </c>
      <c r="B14" s="3" t="s">
        <v>48</v>
      </c>
      <c r="C14" s="3" t="s">
        <v>23</v>
      </c>
      <c r="D14" s="4">
        <v>90</v>
      </c>
      <c r="E14" s="4">
        <v>260</v>
      </c>
      <c r="F14" s="19">
        <f>IFERROR((E14-D14)/D14,0)</f>
      </c>
      <c r="G14" s="20">
        <v>25</v>
      </c>
      <c r="H14" s="20">
        <v>8</v>
      </c>
      <c r="I14" s="20">
        <v>15</v>
      </c>
      <c r="J14" s="20">
        <f>G14+H14-I14</f>
      </c>
      <c r="K14" s="20">
        <v>5</v>
      </c>
      <c r="L14" s="20">
        <f>IF(J14&lt;=K14,K14*2-J14,0)</f>
      </c>
      <c r="M14" s="4">
        <f>J14*D14</f>
      </c>
      <c r="N14" s="3" t="s">
        <v>15</v>
      </c>
      <c r="P14" s="13">
        <f>I14*E14</f>
      </c>
    </row>
    <row r="15" spans="1:16" x14ac:dyDescent="0.25">
      <c r="A15" s="3" t="s">
        <v>150</v>
      </c>
      <c r="B15" s="3" t="s">
        <v>50</v>
      </c>
      <c r="C15" s="3" t="s">
        <v>23</v>
      </c>
      <c r="D15" s="4">
        <v>70</v>
      </c>
      <c r="E15" s="4">
        <v>210</v>
      </c>
      <c r="F15" s="19">
        <f>IFERROR((E15-D15)/D15,0)</f>
      </c>
      <c r="G15" s="20">
        <v>18</v>
      </c>
      <c r="H15" s="20">
        <v>6</v>
      </c>
      <c r="I15" s="20">
        <v>10</v>
      </c>
      <c r="J15" s="20">
        <f>G15+H15-I15</f>
      </c>
      <c r="K15" s="20">
        <v>5</v>
      </c>
      <c r="L15" s="20">
        <f>IF(J15&lt;=K15,K15*2-J15,0)</f>
      </c>
      <c r="M15" s="4">
        <f>J15*D15</f>
      </c>
      <c r="N15" s="3" t="s">
        <v>15</v>
      </c>
      <c r="P15" s="13">
        <f>I15*E15</f>
      </c>
    </row>
    <row r="16" spans="1:16" x14ac:dyDescent="0.25">
      <c r="A16" s="3" t="s">
        <v>151</v>
      </c>
      <c r="B16" s="3" t="s">
        <v>24</v>
      </c>
      <c r="C16" s="3" t="s">
        <v>23</v>
      </c>
      <c r="D16" s="4">
        <v>110</v>
      </c>
      <c r="E16" s="4">
        <v>320</v>
      </c>
      <c r="F16" s="19">
        <f>IFERROR((E16-D16)/D16,0)</f>
      </c>
      <c r="G16" s="20">
        <v>18</v>
      </c>
      <c r="H16" s="20">
        <v>6</v>
      </c>
      <c r="I16" s="20">
        <v>10</v>
      </c>
      <c r="J16" s="20">
        <f>G16+H16-I16</f>
      </c>
      <c r="K16" s="20">
        <v>5</v>
      </c>
      <c r="L16" s="20">
        <f>IF(J16&lt;=K16,K16*2-J16,0)</f>
      </c>
      <c r="M16" s="4">
        <f>J16*D16</f>
      </c>
      <c r="N16" s="3" t="s">
        <v>15</v>
      </c>
      <c r="P16" s="13">
        <f>I16*E16</f>
      </c>
    </row>
    <row r="17" spans="1:16" x14ac:dyDescent="0.25">
      <c r="A17" s="3" t="s">
        <v>152</v>
      </c>
      <c r="B17" s="3" t="s">
        <v>28</v>
      </c>
      <c r="C17" s="3" t="s">
        <v>23</v>
      </c>
      <c r="D17" s="4">
        <v>130</v>
      </c>
      <c r="E17" s="4">
        <v>360</v>
      </c>
      <c r="F17" s="19">
        <f>IFERROR((E17-D17)/D17,0)</f>
      </c>
      <c r="G17" s="20">
        <v>12</v>
      </c>
      <c r="H17" s="20">
        <v>4</v>
      </c>
      <c r="I17" s="20">
        <v>7</v>
      </c>
      <c r="J17" s="20">
        <f>G17+H17-I17</f>
      </c>
      <c r="K17" s="20">
        <v>5</v>
      </c>
      <c r="L17" s="20">
        <f>IF(J17&lt;=K17,K17*2-J17,0)</f>
      </c>
      <c r="M17" s="4">
        <f>J17*D17</f>
      </c>
      <c r="N17" s="3" t="s">
        <v>15</v>
      </c>
      <c r="P17" s="13">
        <f>I17*E17</f>
      </c>
    </row>
    <row r="18" spans="1:16" x14ac:dyDescent="0.25">
      <c r="A18" s="3" t="s">
        <v>153</v>
      </c>
      <c r="B18" s="3" t="s">
        <v>51</v>
      </c>
      <c r="C18" s="3" t="s">
        <v>23</v>
      </c>
      <c r="D18" s="4">
        <v>25</v>
      </c>
      <c r="E18" s="4">
        <v>85</v>
      </c>
      <c r="F18" s="19">
        <f>IFERROR((E18-D18)/D18,0)</f>
      </c>
      <c r="G18" s="20">
        <v>40</v>
      </c>
      <c r="H18" s="20">
        <v>20</v>
      </c>
      <c r="I18" s="20">
        <v>28</v>
      </c>
      <c r="J18" s="20">
        <f>G18+H18-I18</f>
      </c>
      <c r="K18" s="20">
        <v>5</v>
      </c>
      <c r="L18" s="20">
        <f>IF(J18&lt;=K18,K18*2-J18,0)</f>
      </c>
      <c r="M18" s="4">
        <f>J18*D18</f>
      </c>
      <c r="N18" s="3" t="s">
        <v>15</v>
      </c>
      <c r="P18" s="13">
        <f>I18*E18</f>
      </c>
    </row>
    <row r="19" spans="1:16" x14ac:dyDescent="0.25">
      <c r="A19" s="3" t="s">
        <v>154</v>
      </c>
      <c r="B19" s="3" t="s">
        <v>26</v>
      </c>
      <c r="C19" s="3" t="s">
        <v>23</v>
      </c>
      <c r="D19" s="4">
        <v>30</v>
      </c>
      <c r="E19" s="4">
        <v>95</v>
      </c>
      <c r="F19" s="19">
        <f>IFERROR((E19-D19)/D19,0)</f>
      </c>
      <c r="G19" s="20">
        <v>30</v>
      </c>
      <c r="H19" s="20">
        <v>12</v>
      </c>
      <c r="I19" s="20">
        <v>18</v>
      </c>
      <c r="J19" s="20">
        <f>G19+H19-I19</f>
      </c>
      <c r="K19" s="20">
        <v>5</v>
      </c>
      <c r="L19" s="20">
        <f>IF(J19&lt;=K19,K19*2-J19,0)</f>
      </c>
      <c r="M19" s="4">
        <f>J19*D19</f>
      </c>
      <c r="N19" s="3" t="s">
        <v>15</v>
      </c>
      <c r="P19" s="13">
        <f>I19*E19</f>
      </c>
    </row>
    <row r="20" spans="1:16" x14ac:dyDescent="0.25">
      <c r="A20" s="3" t="s">
        <v>155</v>
      </c>
      <c r="B20" s="3" t="s">
        <v>29</v>
      </c>
      <c r="C20" s="3" t="s">
        <v>23</v>
      </c>
      <c r="D20" s="4">
        <v>140</v>
      </c>
      <c r="E20" s="4">
        <v>420</v>
      </c>
      <c r="F20" s="19">
        <f>IFERROR((E20-D20)/D20,0)</f>
      </c>
      <c r="G20" s="20">
        <v>15</v>
      </c>
      <c r="H20" s="20">
        <v>6</v>
      </c>
      <c r="I20" s="20">
        <v>9</v>
      </c>
      <c r="J20" s="20">
        <f>G20+H20-I20</f>
      </c>
      <c r="K20" s="20">
        <v>5</v>
      </c>
      <c r="L20" s="20">
        <f>IF(J20&lt;=K20,K20*2-J20,0)</f>
      </c>
      <c r="M20" s="4">
        <f>J20*D20</f>
      </c>
      <c r="N20" s="3" t="s">
        <v>15</v>
      </c>
      <c r="P20" s="13">
        <f>I20*E20</f>
      </c>
    </row>
    <row r="21" spans="1:16" x14ac:dyDescent="0.25">
      <c r="A21" s="3" t="s">
        <v>156</v>
      </c>
      <c r="B21" s="3" t="s">
        <v>52</v>
      </c>
      <c r="C21" s="3" t="s">
        <v>31</v>
      </c>
      <c r="D21" s="4">
        <v>35</v>
      </c>
      <c r="E21" s="4">
        <v>95</v>
      </c>
      <c r="F21" s="19">
        <f>IFERROR((E21-D21)/D21,0)</f>
      </c>
      <c r="G21" s="20">
        <v>35</v>
      </c>
      <c r="H21" s="20">
        <v>24</v>
      </c>
      <c r="I21" s="20">
        <v>30</v>
      </c>
      <c r="J21" s="20">
        <f>G21+H21-I21</f>
      </c>
      <c r="K21" s="20">
        <v>5</v>
      </c>
      <c r="L21" s="20">
        <f>IF(J21&lt;=K21,K21*2-J21,0)</f>
      </c>
      <c r="M21" s="4">
        <f>J21*D21</f>
      </c>
      <c r="N21" s="3" t="s">
        <v>15</v>
      </c>
      <c r="P21" s="13">
        <f>I21*E21</f>
      </c>
    </row>
    <row r="22" spans="1:16" x14ac:dyDescent="0.25">
      <c r="A22" s="3" t="s">
        <v>157</v>
      </c>
      <c r="B22" s="3" t="s">
        <v>53</v>
      </c>
      <c r="C22" s="3" t="s">
        <v>31</v>
      </c>
      <c r="D22" s="4">
        <v>40</v>
      </c>
      <c r="E22" s="4">
        <v>110</v>
      </c>
      <c r="F22" s="19">
        <f>IFERROR((E22-D22)/D22,0)</f>
      </c>
      <c r="G22" s="20">
        <v>28</v>
      </c>
      <c r="H22" s="20">
        <v>18</v>
      </c>
      <c r="I22" s="20">
        <v>22</v>
      </c>
      <c r="J22" s="20">
        <f>G22+H22-I22</f>
      </c>
      <c r="K22" s="20">
        <v>5</v>
      </c>
      <c r="L22" s="20">
        <f>IF(J22&lt;=K22,K22*2-J22,0)</f>
      </c>
      <c r="M22" s="4">
        <f>J22*D22</f>
      </c>
      <c r="N22" s="3" t="s">
        <v>15</v>
      </c>
      <c r="P22" s="13">
        <f>I22*E22</f>
      </c>
    </row>
    <row r="23" spans="1:16" x14ac:dyDescent="0.25">
      <c r="A23" s="3" t="s">
        <v>158</v>
      </c>
      <c r="B23" s="3" t="s">
        <v>30</v>
      </c>
      <c r="C23" s="3" t="s">
        <v>31</v>
      </c>
      <c r="D23" s="4">
        <v>45</v>
      </c>
      <c r="E23" s="4">
        <v>130</v>
      </c>
      <c r="F23" s="19">
        <f>IFERROR((E23-D23)/D23,0)</f>
      </c>
      <c r="G23" s="20">
        <v>28</v>
      </c>
      <c r="H23" s="20">
        <v>12</v>
      </c>
      <c r="I23" s="20">
        <v>19</v>
      </c>
      <c r="J23" s="20">
        <f>G23+H23-I23</f>
      </c>
      <c r="K23" s="20">
        <v>5</v>
      </c>
      <c r="L23" s="20">
        <f>IF(J23&lt;=K23,K23*2-J23,0)</f>
      </c>
      <c r="M23" s="4">
        <f>J23*D23</f>
      </c>
      <c r="N23" s="3" t="s">
        <v>15</v>
      </c>
      <c r="P23" s="13">
        <f>I23*E23</f>
      </c>
    </row>
    <row r="24" spans="1:16" x14ac:dyDescent="0.25">
      <c r="A24" s="3" t="s">
        <v>159</v>
      </c>
      <c r="B24" s="3" t="s">
        <v>36</v>
      </c>
      <c r="C24" s="3" t="s">
        <v>31</v>
      </c>
      <c r="D24" s="4">
        <v>50</v>
      </c>
      <c r="E24" s="4">
        <v>150</v>
      </c>
      <c r="F24" s="19">
        <f>IFERROR((E24-D24)/D24,0)</f>
      </c>
      <c r="G24" s="20">
        <v>22</v>
      </c>
      <c r="H24" s="20">
        <v>10</v>
      </c>
      <c r="I24" s="20">
        <v>14</v>
      </c>
      <c r="J24" s="20">
        <f>G24+H24-I24</f>
      </c>
      <c r="K24" s="20">
        <v>5</v>
      </c>
      <c r="L24" s="20">
        <f>IF(J24&lt;=K24,K24*2-J24,0)</f>
      </c>
      <c r="M24" s="4">
        <f>J24*D24</f>
      </c>
      <c r="N24" s="3" t="s">
        <v>15</v>
      </c>
      <c r="P24" s="13">
        <f>I24*E24</f>
      </c>
    </row>
    <row r="25" spans="1:16" x14ac:dyDescent="0.25">
      <c r="A25" s="3" t="s">
        <v>160</v>
      </c>
      <c r="B25" s="3" t="s">
        <v>54</v>
      </c>
      <c r="C25" s="3" t="s">
        <v>31</v>
      </c>
      <c r="D25" s="4">
        <v>55</v>
      </c>
      <c r="E25" s="4">
        <v>160</v>
      </c>
      <c r="F25" s="19">
        <f>IFERROR((E25-D25)/D25,0)</f>
      </c>
      <c r="G25" s="20">
        <v>30</v>
      </c>
      <c r="H25" s="20">
        <v>18</v>
      </c>
      <c r="I25" s="20">
        <v>24</v>
      </c>
      <c r="J25" s="20">
        <f>G25+H25-I25</f>
      </c>
      <c r="K25" s="20">
        <v>5</v>
      </c>
      <c r="L25" s="20">
        <f>IF(J25&lt;=K25,K25*2-J25,0)</f>
      </c>
      <c r="M25" s="4">
        <f>J25*D25</f>
      </c>
      <c r="N25" s="3" t="s">
        <v>15</v>
      </c>
      <c r="P25" s="13">
        <f>I25*E25</f>
      </c>
    </row>
    <row r="26" spans="1:16" x14ac:dyDescent="0.25">
      <c r="A26" s="3" t="s">
        <v>161</v>
      </c>
      <c r="B26" s="3" t="s">
        <v>32</v>
      </c>
      <c r="C26" s="3" t="s">
        <v>31</v>
      </c>
      <c r="D26" s="4">
        <v>65</v>
      </c>
      <c r="E26" s="4">
        <v>180</v>
      </c>
      <c r="F26" s="19">
        <f>IFERROR((E26-D26)/D26,0)</f>
      </c>
      <c r="G26" s="20">
        <v>20</v>
      </c>
      <c r="H26" s="20">
        <v>10</v>
      </c>
      <c r="I26" s="20">
        <v>13</v>
      </c>
      <c r="J26" s="20">
        <f>G26+H26-I26</f>
      </c>
      <c r="K26" s="20">
        <v>5</v>
      </c>
      <c r="L26" s="20">
        <f>IF(J26&lt;=K26,K26*2-J26,0)</f>
      </c>
      <c r="M26" s="4">
        <f>J26*D26</f>
      </c>
      <c r="N26" s="3" t="s">
        <v>15</v>
      </c>
      <c r="P26" s="13">
        <f>I26*E26</f>
      </c>
    </row>
    <row r="27" spans="1:16" x14ac:dyDescent="0.25">
      <c r="A27" s="3" t="s">
        <v>162</v>
      </c>
      <c r="B27" s="3" t="s">
        <v>37</v>
      </c>
      <c r="C27" s="3" t="s">
        <v>31</v>
      </c>
      <c r="D27" s="4">
        <v>40</v>
      </c>
      <c r="E27" s="4">
        <v>120</v>
      </c>
      <c r="F27" s="19">
        <f>IFERROR((E27-D27)/D27,0)</f>
      </c>
      <c r="G27" s="20">
        <v>24</v>
      </c>
      <c r="H27" s="20">
        <v>12</v>
      </c>
      <c r="I27" s="20">
        <v>16</v>
      </c>
      <c r="J27" s="20">
        <f>G27+H27-I27</f>
      </c>
      <c r="K27" s="20">
        <v>5</v>
      </c>
      <c r="L27" s="20">
        <f>IF(J27&lt;=K27,K27*2-J27,0)</f>
      </c>
      <c r="M27" s="4">
        <f>J27*D27</f>
      </c>
      <c r="N27" s="3" t="s">
        <v>15</v>
      </c>
      <c r="P27" s="13">
        <f>I27*E27</f>
      </c>
    </row>
    <row r="28" spans="1:16" x14ac:dyDescent="0.25">
      <c r="A28" s="3" t="s">
        <v>163</v>
      </c>
      <c r="B28" s="3" t="s">
        <v>55</v>
      </c>
      <c r="C28" s="3" t="s">
        <v>31</v>
      </c>
      <c r="D28" s="4">
        <v>30</v>
      </c>
      <c r="E28" s="4">
        <v>95</v>
      </c>
      <c r="F28" s="19">
        <f>IFERROR((E28-D28)/D28,0)</f>
      </c>
      <c r="G28" s="20">
        <v>26</v>
      </c>
      <c r="H28" s="20">
        <v>14</v>
      </c>
      <c r="I28" s="20">
        <v>18</v>
      </c>
      <c r="J28" s="20">
        <f>G28+H28-I28</f>
      </c>
      <c r="K28" s="20">
        <v>5</v>
      </c>
      <c r="L28" s="20">
        <f>IF(J28&lt;=K28,K28*2-J28,0)</f>
      </c>
      <c r="M28" s="4">
        <f>J28*D28</f>
      </c>
      <c r="N28" s="3" t="s">
        <v>15</v>
      </c>
      <c r="P28" s="13">
        <f>I28*E28</f>
      </c>
    </row>
    <row r="29" spans="1:16" x14ac:dyDescent="0.25">
      <c r="A29" s="3" t="s">
        <v>164</v>
      </c>
      <c r="B29" s="3" t="s">
        <v>33</v>
      </c>
      <c r="C29" s="3" t="s">
        <v>34</v>
      </c>
      <c r="D29" s="4">
        <v>350</v>
      </c>
      <c r="E29" s="4">
        <v>1200</v>
      </c>
      <c r="F29" s="19">
        <f>IFERROR((E29-D29)/D29,0)</f>
      </c>
      <c r="G29" s="20">
        <v>5</v>
      </c>
      <c r="H29" s="20">
        <v>2</v>
      </c>
      <c r="I29" s="20">
        <v>4</v>
      </c>
      <c r="J29" s="20">
        <f>G29+H29-I29</f>
      </c>
      <c r="K29" s="20">
        <v>5</v>
      </c>
      <c r="L29" s="20">
        <f>IF(J29&lt;=K29,K29*2-J29,0)</f>
      </c>
      <c r="M29" s="4">
        <f>J29*D29</f>
      </c>
      <c r="N29" s="3" t="s">
        <v>15</v>
      </c>
      <c r="P29" s="13">
        <f>I29*E29</f>
      </c>
    </row>
    <row r="30" spans="1:16" x14ac:dyDescent="0.25">
      <c r="A30" s="3" t="s">
        <v>165</v>
      </c>
      <c r="B30" s="3" t="s">
        <v>38</v>
      </c>
      <c r="C30" s="3" t="s">
        <v>34</v>
      </c>
      <c r="D30" s="4">
        <v>500</v>
      </c>
      <c r="E30" s="4">
        <v>1800</v>
      </c>
      <c r="F30" s="19">
        <f>IFERROR((E30-D30)/D30,0)</f>
      </c>
      <c r="G30" s="20">
        <v>3</v>
      </c>
      <c r="H30" s="20">
        <v>1</v>
      </c>
      <c r="I30" s="20">
        <v>2</v>
      </c>
      <c r="J30" s="20">
        <f>G30+H30-I30</f>
      </c>
      <c r="K30" s="20">
        <v>5</v>
      </c>
      <c r="L30" s="20">
        <f>IF(J30&lt;=K30,K30*2-J30,0)</f>
      </c>
      <c r="M30" s="4">
        <f>J30*D30</f>
      </c>
      <c r="N30" s="3" t="s">
        <v>15</v>
      </c>
      <c r="P30" s="13">
        <f>I30*E30</f>
      </c>
    </row>
    <row r="31" spans="1:16" x14ac:dyDescent="0.25">
      <c r="A31" s="3" t="s">
        <v>166</v>
      </c>
      <c r="B31" s="3" t="s">
        <v>41</v>
      </c>
      <c r="C31" s="3" t="s">
        <v>34</v>
      </c>
      <c r="D31" s="4">
        <v>220</v>
      </c>
      <c r="E31" s="4">
        <v>650</v>
      </c>
      <c r="F31" s="19">
        <f>IFERROR((E31-D31)/D31,0)</f>
      </c>
      <c r="G31" s="20">
        <v>8</v>
      </c>
      <c r="H31" s="20">
        <v>4</v>
      </c>
      <c r="I31" s="20">
        <v>6</v>
      </c>
      <c r="J31" s="20">
        <f>G31+H31-I31</f>
      </c>
      <c r="K31" s="20">
        <v>5</v>
      </c>
      <c r="L31" s="20">
        <f>IF(J31&lt;=K31,K31*2-J31,0)</f>
      </c>
      <c r="M31" s="4">
        <f>J31*D31</f>
      </c>
      <c r="N31" s="3" t="s">
        <v>15</v>
      </c>
      <c r="P31" s="13">
        <f>I31*E31</f>
      </c>
    </row>
    <row r="32" spans="1:16" x14ac:dyDescent="0.25">
      <c r="A32" s="3" t="s">
        <v>167</v>
      </c>
      <c r="B32" s="3" t="s">
        <v>56</v>
      </c>
      <c r="C32" s="3" t="s">
        <v>34</v>
      </c>
      <c r="D32" s="4">
        <v>280</v>
      </c>
      <c r="E32" s="4">
        <v>850</v>
      </c>
      <c r="F32" s="19">
        <f>IFERROR((E32-D32)/D32,0)</f>
      </c>
      <c r="G32" s="20">
        <v>6</v>
      </c>
      <c r="H32" s="20">
        <v>3</v>
      </c>
      <c r="I32" s="20">
        <v>5</v>
      </c>
      <c r="J32" s="20">
        <f>G32+H32-I32</f>
      </c>
      <c r="K32" s="20">
        <v>5</v>
      </c>
      <c r="L32" s="20">
        <f>IF(J32&lt;=K32,K32*2-J32,0)</f>
      </c>
      <c r="M32" s="4">
        <f>J32*D32</f>
      </c>
      <c r="N32" s="3" t="s">
        <v>15</v>
      </c>
      <c r="P32" s="13">
        <f>I32*E32</f>
      </c>
    </row>
  </sheetData>
  <mergeCells count="1">
    <mergeCell ref="A1:M1"/>
  </mergeCells>
  <conditionalFormatting sqref="J3:J32">
    <cfRule type="cellIs" dxfId="1" priority="1" operator="lessThanOrEqual">
      <formula>$K3</formula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2" width="14" customWidth="1"/>
  </cols>
  <sheetData>
    <row r="1" ht="32" customHeight="1" spans="1:12" x14ac:dyDescent="0.25">
      <c r="A1" s="10" t="s">
        <v>168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ht="22" customHeight="1" spans="1:10" x14ac:dyDescent="0.25">
      <c r="A2" s="21" t="s">
        <v>169</v>
      </c>
      <c r="B2" s="21"/>
      <c r="C2" s="21" t="s">
        <v>170</v>
      </c>
      <c r="D2" s="21"/>
      <c r="E2" s="21" t="s">
        <v>171</v>
      </c>
      <c r="F2" s="21"/>
      <c r="G2" s="21" t="s">
        <v>172</v>
      </c>
      <c r="H2" s="21"/>
      <c r="I2" s="21" t="s">
        <v>173</v>
      </c>
      <c r="J2" s="21"/>
    </row>
    <row r="3" ht="30" customHeight="1" spans="1:10" x14ac:dyDescent="0.25">
      <c r="A3" s="22">
        <f>SUMIFS('DAILY SALES LOG'!$G$2:$G$500,'DAILY SALES LOG'!$A$2:$A$500,"&gt;="&amp;(TODAY()-DAY(TODAY())+1))</f>
      </c>
      <c r="B3" s="22"/>
      <c r="C3" s="22">
        <f>'MONTHLY P&amp;L'!C23</f>
      </c>
      <c r="D3" s="22"/>
      <c r="E3" s="23">
        <f>'MONTHLY P&amp;L'!C14</f>
      </c>
      <c r="F3" s="23"/>
      <c r="G3" s="22">
        <f>VLOOKUP(MAX('CASH FLOW TRACKER'!$A:$A),'CASH FLOW TRACKER'!$A:$L,12,FALSE)</f>
      </c>
      <c r="H3" s="22"/>
      <c r="I3" s="22">
        <f>SUMPRODUCT(INVENTORY!$J$3:$J$32,INVENTORY!$D$3:$D$32)</f>
      </c>
      <c r="J3" s="22"/>
    </row>
    <row r="4" ht="14" customHeight="1" spans="1:10" x14ac:dyDescent="0.25">
      <c r="A4" s="22"/>
      <c r="B4" s="22"/>
      <c r="C4" s="22"/>
      <c r="D4" s="22"/>
      <c r="E4" s="23"/>
      <c r="F4" s="23"/>
      <c r="G4" s="22"/>
      <c r="H4" s="22"/>
      <c r="I4" s="22"/>
      <c r="J4" s="22"/>
    </row>
    <row r="6" spans="1:4" x14ac:dyDescent="0.25">
      <c r="A6" s="10" t="s">
        <v>174</v>
      </c>
      <c r="B6" s="10"/>
      <c r="C6" s="10"/>
      <c r="D6" s="10"/>
    </row>
    <row r="7" spans="1:4" x14ac:dyDescent="0.25">
      <c r="A7" s="1" t="s">
        <v>80</v>
      </c>
      <c r="B7" s="1" t="s">
        <v>83</v>
      </c>
      <c r="C7" s="1" t="s">
        <v>81</v>
      </c>
      <c r="D7" s="1" t="s">
        <v>133</v>
      </c>
    </row>
    <row r="8" spans="1:4" x14ac:dyDescent="0.25">
      <c r="A8">
        <v>1</v>
      </c>
      <c r="B8">
        <f>IFERROR(INDEX(INVENTORY!$B$3:$B$32,MATCH(LARGE(INVENTORY!$P$3:$P$32,1),INVENTORY!$P$3:$P$32,0)),"")</f>
      </c>
      <c r="C8" s="7">
        <f>IFERROR(LARGE(INVENTORY!$P$3:$P$32,1),0)</f>
      </c>
      <c r="D8" s="6">
        <f>IFERROR(INDEX(INVENTORY!$J$3:$J$32,MATCH(LARGE(INVENTORY!$P$3:$P$32,1),INVENTORY!$P$3:$P$32,0)),0)</f>
      </c>
    </row>
    <row r="9" spans="1:4" x14ac:dyDescent="0.25">
      <c r="A9">
        <v>2</v>
      </c>
      <c r="B9">
        <f>IFERROR(INDEX(INVENTORY!$B$3:$B$32,MATCH(LARGE(INVENTORY!$P$3:$P$32,2),INVENTORY!$P$3:$P$32,0)),"")</f>
      </c>
      <c r="C9" s="7">
        <f>IFERROR(LARGE(INVENTORY!$P$3:$P$32,2),0)</f>
      </c>
      <c r="D9" s="6">
        <f>IFERROR(INDEX(INVENTORY!$J$3:$J$32,MATCH(LARGE(INVENTORY!$P$3:$P$32,2),INVENTORY!$P$3:$P$32,0)),0)</f>
      </c>
    </row>
    <row r="10" spans="1:4" x14ac:dyDescent="0.25">
      <c r="A10">
        <v>3</v>
      </c>
      <c r="B10">
        <f>IFERROR(INDEX(INVENTORY!$B$3:$B$32,MATCH(LARGE(INVENTORY!$P$3:$P$32,3),INVENTORY!$P$3:$P$32,0)),"")</f>
      </c>
      <c r="C10" s="7">
        <f>IFERROR(LARGE(INVENTORY!$P$3:$P$32,3),0)</f>
      </c>
      <c r="D10" s="6">
        <f>IFERROR(INDEX(INVENTORY!$J$3:$J$32,MATCH(LARGE(INVENTORY!$P$3:$P$32,3),INVENTORY!$P$3:$P$32,0)),0)</f>
      </c>
    </row>
    <row r="11" spans="1:4" x14ac:dyDescent="0.25">
      <c r="A11">
        <v>4</v>
      </c>
      <c r="B11">
        <f>IFERROR(INDEX(INVENTORY!$B$3:$B$32,MATCH(LARGE(INVENTORY!$P$3:$P$32,4),INVENTORY!$P$3:$P$32,0)),"")</f>
      </c>
      <c r="C11" s="7">
        <f>IFERROR(LARGE(INVENTORY!$P$3:$P$32,4),0)</f>
      </c>
      <c r="D11" s="6">
        <f>IFERROR(INDEX(INVENTORY!$J$3:$J$32,MATCH(LARGE(INVENTORY!$P$3:$P$32,4),INVENTORY!$P$3:$P$32,0)),0)</f>
      </c>
    </row>
    <row r="12" spans="1:4" x14ac:dyDescent="0.25">
      <c r="A12">
        <v>5</v>
      </c>
      <c r="B12">
        <f>IFERROR(INDEX(INVENTORY!$B$3:$B$32,MATCH(LARGE(INVENTORY!$P$3:$P$32,5),INVENTORY!$P$3:$P$32,0)),"")</f>
      </c>
      <c r="C12" s="7">
        <f>IFERROR(LARGE(INVENTORY!$P$3:$P$32,5),0)</f>
      </c>
      <c r="D12" s="6">
        <f>IFERROR(INDEX(INVENTORY!$J$3:$J$32,MATCH(LARGE(INVENTORY!$P$3:$P$32,5),INVENTORY!$P$3:$P$32,0)),0)</f>
      </c>
    </row>
    <row r="13" spans="1:4" x14ac:dyDescent="0.25">
      <c r="A13">
        <v>6</v>
      </c>
      <c r="B13">
        <f>IFERROR(INDEX(INVENTORY!$B$3:$B$32,MATCH(LARGE(INVENTORY!$P$3:$P$32,6),INVENTORY!$P$3:$P$32,0)),"")</f>
      </c>
      <c r="C13" s="7">
        <f>IFERROR(LARGE(INVENTORY!$P$3:$P$32,6),0)</f>
      </c>
      <c r="D13" s="6">
        <f>IFERROR(INDEX(INVENTORY!$J$3:$J$32,MATCH(LARGE(INVENTORY!$P$3:$P$32,6),INVENTORY!$P$3:$P$32,0)),0)</f>
      </c>
    </row>
    <row r="14" spans="1:4" x14ac:dyDescent="0.25">
      <c r="A14">
        <v>7</v>
      </c>
      <c r="B14">
        <f>IFERROR(INDEX(INVENTORY!$B$3:$B$32,MATCH(LARGE(INVENTORY!$P$3:$P$32,7),INVENTORY!$P$3:$P$32,0)),"")</f>
      </c>
      <c r="C14" s="7">
        <f>IFERROR(LARGE(INVENTORY!$P$3:$P$32,7),0)</f>
      </c>
      <c r="D14" s="6">
        <f>IFERROR(INDEX(INVENTORY!$J$3:$J$32,MATCH(LARGE(INVENTORY!$P$3:$P$32,7),INVENTORY!$P$3:$P$32,0)),0)</f>
      </c>
    </row>
    <row r="15" spans="1:4" x14ac:dyDescent="0.25">
      <c r="A15">
        <v>8</v>
      </c>
      <c r="B15">
        <f>IFERROR(INDEX(INVENTORY!$B$3:$B$32,MATCH(LARGE(INVENTORY!$P$3:$P$32,8),INVENTORY!$P$3:$P$32,0)),"")</f>
      </c>
      <c r="C15" s="7">
        <f>IFERROR(LARGE(INVENTORY!$P$3:$P$32,8),0)</f>
      </c>
      <c r="D15" s="6">
        <f>IFERROR(INDEX(INVENTORY!$J$3:$J$32,MATCH(LARGE(INVENTORY!$P$3:$P$32,8),INVENTORY!$P$3:$P$32,0)),0)</f>
      </c>
    </row>
    <row r="16" spans="1:4" x14ac:dyDescent="0.25">
      <c r="A16">
        <v>9</v>
      </c>
      <c r="B16">
        <f>IFERROR(INDEX(INVENTORY!$B$3:$B$32,MATCH(LARGE(INVENTORY!$P$3:$P$32,9),INVENTORY!$P$3:$P$32,0)),"")</f>
      </c>
      <c r="C16" s="7">
        <f>IFERROR(LARGE(INVENTORY!$P$3:$P$32,9),0)</f>
      </c>
      <c r="D16" s="6">
        <f>IFERROR(INDEX(INVENTORY!$J$3:$J$32,MATCH(LARGE(INVENTORY!$P$3:$P$32,9),INVENTORY!$P$3:$P$32,0)),0)</f>
      </c>
    </row>
    <row r="17" spans="1:4" x14ac:dyDescent="0.25">
      <c r="A17">
        <v>10</v>
      </c>
      <c r="B17">
        <f>IFERROR(INDEX(INVENTORY!$B$3:$B$32,MATCH(LARGE(INVENTORY!$P$3:$P$32,10),INVENTORY!$P$3:$P$32,0)),"")</f>
      </c>
      <c r="C17" s="7">
        <f>IFERROR(LARGE(INVENTORY!$P$3:$P$32,10),0)</f>
      </c>
      <c r="D17" s="6">
        <f>IFERROR(INDEX(INVENTORY!$J$3:$J$32,MATCH(LARGE(INVENTORY!$P$3:$P$32,10),INVENTORY!$P$3:$P$32,0)),0)</f>
      </c>
    </row>
    <row r="18" spans="1:4" x14ac:dyDescent="0.25">
      <c r="A18">
        <v>11</v>
      </c>
      <c r="B18">
        <f>IFERROR(INDEX(INVENTORY!$B$3:$B$32,MATCH(LARGE(INVENTORY!$P$3:$P$32,11),INVENTORY!$P$3:$P$32,0)),"")</f>
      </c>
      <c r="C18" s="7">
        <f>IFERROR(LARGE(INVENTORY!$P$3:$P$32,11),0)</f>
      </c>
      <c r="D18" s="6">
        <f>IFERROR(INDEX(INVENTORY!$J$3:$J$32,MATCH(LARGE(INVENTORY!$P$3:$P$32,11),INVENTORY!$P$3:$P$32,0)),0)</f>
      </c>
    </row>
    <row r="19" spans="1:4" x14ac:dyDescent="0.25">
      <c r="A19">
        <v>12</v>
      </c>
      <c r="B19">
        <f>IFERROR(INDEX(INVENTORY!$B$3:$B$32,MATCH(LARGE(INVENTORY!$P$3:$P$32,12),INVENTORY!$P$3:$P$32,0)),"")</f>
      </c>
      <c r="C19" s="7">
        <f>IFERROR(LARGE(INVENTORY!$P$3:$P$32,12),0)</f>
      </c>
      <c r="D19" s="6">
        <f>IFERROR(INDEX(INVENTORY!$J$3:$J$32,MATCH(LARGE(INVENTORY!$P$3:$P$32,12),INVENTORY!$P$3:$P$32,0)),0)</f>
      </c>
    </row>
    <row r="20" spans="1:4" x14ac:dyDescent="0.25">
      <c r="A20">
        <v>13</v>
      </c>
      <c r="B20">
        <f>IFERROR(INDEX(INVENTORY!$B$3:$B$32,MATCH(LARGE(INVENTORY!$P$3:$P$32,13),INVENTORY!$P$3:$P$32,0)),"")</f>
      </c>
      <c r="C20" s="7">
        <f>IFERROR(LARGE(INVENTORY!$P$3:$P$32,13),0)</f>
      </c>
      <c r="D20" s="6">
        <f>IFERROR(INDEX(INVENTORY!$J$3:$J$32,MATCH(LARGE(INVENTORY!$P$3:$P$32,13),INVENTORY!$P$3:$P$32,0)),0)</f>
      </c>
    </row>
    <row r="21" spans="1:4" x14ac:dyDescent="0.25">
      <c r="A21">
        <v>14</v>
      </c>
      <c r="B21">
        <f>IFERROR(INDEX(INVENTORY!$B$3:$B$32,MATCH(LARGE(INVENTORY!$P$3:$P$32,14),INVENTORY!$P$3:$P$32,0)),"")</f>
      </c>
      <c r="C21" s="7">
        <f>IFERROR(LARGE(INVENTORY!$P$3:$P$32,14),0)</f>
      </c>
      <c r="D21" s="6">
        <f>IFERROR(INDEX(INVENTORY!$J$3:$J$32,MATCH(LARGE(INVENTORY!$P$3:$P$32,14),INVENTORY!$P$3:$P$32,0)),0)</f>
      </c>
    </row>
    <row r="22" spans="1:4" x14ac:dyDescent="0.25">
      <c r="A22">
        <v>15</v>
      </c>
      <c r="B22">
        <f>IFERROR(INDEX(INVENTORY!$B$3:$B$32,MATCH(LARGE(INVENTORY!$P$3:$P$32,15),INVENTORY!$P$3:$P$32,0)),"")</f>
      </c>
      <c r="C22" s="7">
        <f>IFERROR(LARGE(INVENTORY!$P$3:$P$32,15),0)</f>
      </c>
      <c r="D22" s="6">
        <f>IFERROR(INDEX(INVENTORY!$J$3:$J$32,MATCH(LARGE(INVENTORY!$P$3:$P$32,15),INVENTORY!$P$3:$P$32,0)),0)</f>
      </c>
    </row>
    <row r="23" spans="1:4" x14ac:dyDescent="0.25">
      <c r="A23">
        <v>16</v>
      </c>
      <c r="B23">
        <f>IFERROR(INDEX(INVENTORY!$B$3:$B$32,MATCH(LARGE(INVENTORY!$P$3:$P$32,16),INVENTORY!$P$3:$P$32,0)),"")</f>
      </c>
      <c r="C23" s="7">
        <f>IFERROR(LARGE(INVENTORY!$P$3:$P$32,16),0)</f>
      </c>
      <c r="D23" s="6">
        <f>IFERROR(INDEX(INVENTORY!$J$3:$J$32,MATCH(LARGE(INVENTORY!$P$3:$P$32,16),INVENTORY!$P$3:$P$32,0)),0)</f>
      </c>
    </row>
    <row r="24" spans="1:4" x14ac:dyDescent="0.25">
      <c r="A24">
        <v>17</v>
      </c>
      <c r="B24">
        <f>IFERROR(INDEX(INVENTORY!$B$3:$B$32,MATCH(LARGE(INVENTORY!$P$3:$P$32,17),INVENTORY!$P$3:$P$32,0)),"")</f>
      </c>
      <c r="C24" s="7">
        <f>IFERROR(LARGE(INVENTORY!$P$3:$P$32,17),0)</f>
      </c>
      <c r="D24" s="6">
        <f>IFERROR(INDEX(INVENTORY!$J$3:$J$32,MATCH(LARGE(INVENTORY!$P$3:$P$32,17),INVENTORY!$P$3:$P$32,0)),0)</f>
      </c>
    </row>
    <row r="25" spans="1:4" x14ac:dyDescent="0.25">
      <c r="A25">
        <v>18</v>
      </c>
      <c r="B25">
        <f>IFERROR(INDEX(INVENTORY!$B$3:$B$32,MATCH(LARGE(INVENTORY!$P$3:$P$32,18),INVENTORY!$P$3:$P$32,0)),"")</f>
      </c>
      <c r="C25" s="7">
        <f>IFERROR(LARGE(INVENTORY!$P$3:$P$32,18),0)</f>
      </c>
      <c r="D25" s="6">
        <f>IFERROR(INDEX(INVENTORY!$J$3:$J$32,MATCH(LARGE(INVENTORY!$P$3:$P$32,18),INVENTORY!$P$3:$P$32,0)),0)</f>
      </c>
    </row>
    <row r="26" spans="1:4" x14ac:dyDescent="0.25">
      <c r="A26">
        <v>19</v>
      </c>
      <c r="B26">
        <f>IFERROR(INDEX(INVENTORY!$B$3:$B$32,MATCH(LARGE(INVENTORY!$P$3:$P$32,19),INVENTORY!$P$3:$P$32,0)),"")</f>
      </c>
      <c r="C26" s="7">
        <f>IFERROR(LARGE(INVENTORY!$P$3:$P$32,19),0)</f>
      </c>
      <c r="D26" s="6">
        <f>IFERROR(INDEX(INVENTORY!$J$3:$J$32,MATCH(LARGE(INVENTORY!$P$3:$P$32,19),INVENTORY!$P$3:$P$32,0)),0)</f>
      </c>
    </row>
    <row r="27" spans="1:4" x14ac:dyDescent="0.25">
      <c r="A27">
        <v>20</v>
      </c>
      <c r="B27">
        <f>IFERROR(INDEX(INVENTORY!$B$3:$B$32,MATCH(LARGE(INVENTORY!$P$3:$P$32,20),INVENTORY!$P$3:$P$32,0)),"")</f>
      </c>
      <c r="C27" s="7">
        <f>IFERROR(LARGE(INVENTORY!$P$3:$P$32,20),0)</f>
      </c>
      <c r="D27" s="6">
        <f>IFERROR(INDEX(INVENTORY!$J$3:$J$32,MATCH(LARGE(INVENTORY!$P$3:$P$32,20),INVENTORY!$P$3:$P$32,0)),0)</f>
      </c>
    </row>
    <row r="30" spans="1:3" x14ac:dyDescent="0.25">
      <c r="A30" s="10" t="s">
        <v>175</v>
      </c>
      <c r="B30" s="10"/>
      <c r="C30" s="10"/>
    </row>
    <row r="31" spans="1:3" x14ac:dyDescent="0.25">
      <c r="A31" s="1" t="s">
        <v>83</v>
      </c>
      <c r="B31" s="1" t="s">
        <v>82</v>
      </c>
      <c r="C31" s="1" t="s">
        <v>81</v>
      </c>
    </row>
    <row r="32" spans="1:3" x14ac:dyDescent="0.25">
      <c r="A32">
        <f>IFERROR(INDEX(INVENTORY!$B$3:$B$32,MATCH(LARGE(INVENTORY!$P$3:$P$32,1),INVENTORY!$P$3:$P$32,0)),"")</f>
      </c>
      <c r="B32" s="6">
        <f>IFERROR(INDEX(INVENTORY!$I$3:$I$32,MATCH(LARGE(INVENTORY!$P$3:$P$32,1),INVENTORY!$P$3:$P$32,0)),0)</f>
      </c>
      <c r="C32" s="7">
        <f>IFERROR(LARGE(INVENTORY!$P$3:$P$32,1),0)</f>
      </c>
    </row>
    <row r="33" spans="1:3" x14ac:dyDescent="0.25">
      <c r="A33">
        <f>IFERROR(INDEX(INVENTORY!$B$3:$B$32,MATCH(LARGE(INVENTORY!$P$3:$P$32,2),INVENTORY!$P$3:$P$32,0)),"")</f>
      </c>
      <c r="B33" s="6">
        <f>IFERROR(INDEX(INVENTORY!$I$3:$I$32,MATCH(LARGE(INVENTORY!$P$3:$P$32,2),INVENTORY!$P$3:$P$32,0)),0)</f>
      </c>
      <c r="C33" s="7">
        <f>IFERROR(LARGE(INVENTORY!$P$3:$P$32,2),0)</f>
      </c>
    </row>
    <row r="34" spans="1:3" x14ac:dyDescent="0.25">
      <c r="A34">
        <f>IFERROR(INDEX(INVENTORY!$B$3:$B$32,MATCH(LARGE(INVENTORY!$P$3:$P$32,3),INVENTORY!$P$3:$P$32,0)),"")</f>
      </c>
      <c r="B34" s="6">
        <f>IFERROR(INDEX(INVENTORY!$I$3:$I$32,MATCH(LARGE(INVENTORY!$P$3:$P$32,3),INVENTORY!$P$3:$P$32,0)),0)</f>
      </c>
      <c r="C34" s="7">
        <f>IFERROR(LARGE(INVENTORY!$P$3:$P$32,3),0)</f>
      </c>
    </row>
    <row r="35" spans="1:3" x14ac:dyDescent="0.25">
      <c r="A35">
        <f>IFERROR(INDEX(INVENTORY!$B$3:$B$32,MATCH(LARGE(INVENTORY!$P$3:$P$32,4),INVENTORY!$P$3:$P$32,0)),"")</f>
      </c>
      <c r="B35" s="6">
        <f>IFERROR(INDEX(INVENTORY!$I$3:$I$32,MATCH(LARGE(INVENTORY!$P$3:$P$32,4),INVENTORY!$P$3:$P$32,0)),0)</f>
      </c>
      <c r="C35" s="7">
        <f>IFERROR(LARGE(INVENTORY!$P$3:$P$32,4),0)</f>
      </c>
    </row>
    <row r="36" spans="1:3" x14ac:dyDescent="0.25">
      <c r="A36">
        <f>IFERROR(INDEX(INVENTORY!$B$3:$B$32,MATCH(LARGE(INVENTORY!$P$3:$P$32,5),INVENTORY!$P$3:$P$32,0)),"")</f>
      </c>
      <c r="B36" s="6">
        <f>IFERROR(INDEX(INVENTORY!$I$3:$I$32,MATCH(LARGE(INVENTORY!$P$3:$P$32,5),INVENTORY!$P$3:$P$32,0)),0)</f>
      </c>
      <c r="C36" s="7">
        <f>IFERROR(LARGE(INVENTORY!$P$3:$P$32,5),0)</f>
      </c>
    </row>
    <row r="39" spans="1:4" x14ac:dyDescent="0.25">
      <c r="A39" s="10" t="s">
        <v>176</v>
      </c>
      <c r="B39" s="10"/>
      <c r="C39" s="10"/>
      <c r="D39" s="10"/>
    </row>
    <row r="40" spans="1:2" x14ac:dyDescent="0.25">
      <c r="A40" s="16" t="s">
        <v>177</v>
      </c>
      <c r="B40" s="24">
        <f>COUNTIF(INVENTORY!$J$3:$J$32,"&lt;="&amp;INVENTORY!$K$3:$K$32)</f>
      </c>
    </row>
    <row r="41" spans="1:4" x14ac:dyDescent="0.25">
      <c r="A41" s="1" t="s">
        <v>126</v>
      </c>
      <c r="B41" s="1" t="s">
        <v>83</v>
      </c>
      <c r="C41" s="1" t="s">
        <v>133</v>
      </c>
      <c r="D41" s="1" t="s">
        <v>134</v>
      </c>
    </row>
    <row r="42" spans="1:4" x14ac:dyDescent="0.25">
      <c r="A42">
        <f>IFERROR(INDEX(INVENTORY!$A$3:$A$32,SMALL(IF(INVENTORY!$J$3:$J$32&lt;=INVENTORY!$K$3:$K$32,ROW(INVENTORY!$J$3:$J$32)-2),1)),"")</f>
      </c>
      <c r="B42">
        <f>IFERROR(INDEX(INVENTORY!$B$3:$B$32,SMALL(IF(INVENTORY!$J$3:$J$32&lt;=INVENTORY!$K$3:$K$32,ROW(INVENTORY!$J$3:$J$32)-2),1)),"")</f>
      </c>
      <c r="C42" s="6">
        <f>IFERROR(INDEX(INVENTORY!$J$3:$J$32,SMALL(IF(INVENTORY!$J$3:$J$32&lt;=INVENTORY!$K$3:$K$32,ROW(INVENTORY!$J$3:$J$32)-2),1)),"")</f>
      </c>
      <c r="D42" s="6">
        <f>IFERROR(INDEX(INVENTORY!$K$3:$K$32,SMALL(IF(INVENTORY!$J$3:$J$32&lt;=INVENTORY!$K$3:$K$32,ROW(INVENTORY!$J$3:$J$32)-2),1)),"")</f>
      </c>
    </row>
    <row r="43" spans="1:4" x14ac:dyDescent="0.25">
      <c r="A43">
        <f>IFERROR(INDEX(INVENTORY!$A$3:$A$32,SMALL(IF(INVENTORY!$J$3:$J$32&lt;=INVENTORY!$K$3:$K$32,ROW(INVENTORY!$J$3:$J$32)-2),2)),"")</f>
      </c>
      <c r="B43">
        <f>IFERROR(INDEX(INVENTORY!$B$3:$B$32,SMALL(IF(INVENTORY!$J$3:$J$32&lt;=INVENTORY!$K$3:$K$32,ROW(INVENTORY!$J$3:$J$32)-2),2)),"")</f>
      </c>
      <c r="C43" s="6">
        <f>IFERROR(INDEX(INVENTORY!$J$3:$J$32,SMALL(IF(INVENTORY!$J$3:$J$32&lt;=INVENTORY!$K$3:$K$32,ROW(INVENTORY!$J$3:$J$32)-2),2)),"")</f>
      </c>
      <c r="D43" s="6">
        <f>IFERROR(INDEX(INVENTORY!$K$3:$K$32,SMALL(IF(INVENTORY!$J$3:$J$32&lt;=INVENTORY!$K$3:$K$32,ROW(INVENTORY!$J$3:$J$32)-2),2)),"")</f>
      </c>
    </row>
    <row r="44" spans="1:4" x14ac:dyDescent="0.25">
      <c r="A44">
        <f>IFERROR(INDEX(INVENTORY!$A$3:$A$32,SMALL(IF(INVENTORY!$J$3:$J$32&lt;=INVENTORY!$K$3:$K$32,ROW(INVENTORY!$J$3:$J$32)-2),3)),"")</f>
      </c>
      <c r="B44">
        <f>IFERROR(INDEX(INVENTORY!$B$3:$B$32,SMALL(IF(INVENTORY!$J$3:$J$32&lt;=INVENTORY!$K$3:$K$32,ROW(INVENTORY!$J$3:$J$32)-2),3)),"")</f>
      </c>
      <c r="C44" s="6">
        <f>IFERROR(INDEX(INVENTORY!$J$3:$J$32,SMALL(IF(INVENTORY!$J$3:$J$32&lt;=INVENTORY!$K$3:$K$32,ROW(INVENTORY!$J$3:$J$32)-2),3)),"")</f>
      </c>
      <c r="D44" s="6">
        <f>IFERROR(INDEX(INVENTORY!$K$3:$K$32,SMALL(IF(INVENTORY!$J$3:$J$32&lt;=INVENTORY!$K$3:$K$32,ROW(INVENTORY!$J$3:$J$32)-2),3)),"")</f>
      </c>
    </row>
    <row r="45" spans="1:4" x14ac:dyDescent="0.25">
      <c r="A45">
        <f>IFERROR(INDEX(INVENTORY!$A$3:$A$32,SMALL(IF(INVENTORY!$J$3:$J$32&lt;=INVENTORY!$K$3:$K$32,ROW(INVENTORY!$J$3:$J$32)-2),4)),"")</f>
      </c>
      <c r="B45">
        <f>IFERROR(INDEX(INVENTORY!$B$3:$B$32,SMALL(IF(INVENTORY!$J$3:$J$32&lt;=INVENTORY!$K$3:$K$32,ROW(INVENTORY!$J$3:$J$32)-2),4)),"")</f>
      </c>
      <c r="C45" s="6">
        <f>IFERROR(INDEX(INVENTORY!$J$3:$J$32,SMALL(IF(INVENTORY!$J$3:$J$32&lt;=INVENTORY!$K$3:$K$32,ROW(INVENTORY!$J$3:$J$32)-2),4)),"")</f>
      </c>
      <c r="D45" s="6">
        <f>IFERROR(INDEX(INVENTORY!$K$3:$K$32,SMALL(IF(INVENTORY!$J$3:$J$32&lt;=INVENTORY!$K$3:$K$32,ROW(INVENTORY!$J$3:$J$32)-2),4)),"")</f>
      </c>
    </row>
    <row r="46" spans="1:4" x14ac:dyDescent="0.25">
      <c r="A46">
        <f>IFERROR(INDEX(INVENTORY!$A$3:$A$32,SMALL(IF(INVENTORY!$J$3:$J$32&lt;=INVENTORY!$K$3:$K$32,ROW(INVENTORY!$J$3:$J$32)-2),5)),"")</f>
      </c>
      <c r="B46">
        <f>IFERROR(INDEX(INVENTORY!$B$3:$B$32,SMALL(IF(INVENTORY!$J$3:$J$32&lt;=INVENTORY!$K$3:$K$32,ROW(INVENTORY!$J$3:$J$32)-2),5)),"")</f>
      </c>
      <c r="C46" s="6">
        <f>IFERROR(INDEX(INVENTORY!$J$3:$J$32,SMALL(IF(INVENTORY!$J$3:$J$32&lt;=INVENTORY!$K$3:$K$32,ROW(INVENTORY!$J$3:$J$32)-2),5)),"")</f>
      </c>
      <c r="D46" s="6">
        <f>IFERROR(INDEX(INVENTORY!$K$3:$K$32,SMALL(IF(INVENTORY!$J$3:$J$32&lt;=INVENTORY!$K$3:$K$32,ROW(INVENTORY!$J$3:$J$32)-2),5)),"")</f>
      </c>
    </row>
    <row r="49" spans="1:3" x14ac:dyDescent="0.25">
      <c r="A49" s="10" t="s">
        <v>178</v>
      </c>
      <c r="B49" s="10"/>
      <c r="C49" s="10"/>
    </row>
    <row r="50" spans="1:3" x14ac:dyDescent="0.25">
      <c r="A50" s="1" t="s">
        <v>71</v>
      </c>
      <c r="B50" s="1" t="s">
        <v>179</v>
      </c>
      <c r="C50" s="1" t="s">
        <v>76</v>
      </c>
    </row>
    <row r="51" spans="1:3" x14ac:dyDescent="0.25">
      <c r="A51" s="8">
        <f>WEEKLY SUMMARY!A2</f>
      </c>
      <c r="B51" s="7">
        <f>WEEKLY SUMMARY!C2</f>
      </c>
      <c r="C51" s="7">
        <f>WEEKLY SUMMARY!J2</f>
      </c>
    </row>
    <row r="52" spans="1:3" x14ac:dyDescent="0.25">
      <c r="A52" s="8">
        <f>WEEKLY SUMMARY!A3</f>
      </c>
      <c r="B52" s="7">
        <f>WEEKLY SUMMARY!C3</f>
      </c>
      <c r="C52" s="7">
        <f>WEEKLY SUMMARY!J3</f>
      </c>
    </row>
    <row r="53" spans="1:3" x14ac:dyDescent="0.25">
      <c r="A53" s="8">
        <f>WEEKLY SUMMARY!A4</f>
      </c>
      <c r="B53" s="7">
        <f>WEEKLY SUMMARY!C4</f>
      </c>
      <c r="C53" s="7">
        <f>WEEKLY SUMMARY!J4</f>
      </c>
    </row>
    <row r="54" spans="1:3" x14ac:dyDescent="0.25">
      <c r="A54" s="8">
        <f>WEEKLY SUMMARY!A5</f>
      </c>
      <c r="B54" s="7">
        <f>WEEKLY SUMMARY!C5</f>
      </c>
      <c r="C54" s="7">
        <f>WEEKLY SUMMARY!J5</f>
      </c>
    </row>
    <row r="56" spans="1:2" x14ac:dyDescent="0.25">
      <c r="A56" s="10" t="s">
        <v>180</v>
      </c>
      <c r="B56" s="10"/>
    </row>
    <row r="57" spans="1:2" x14ac:dyDescent="0.25">
      <c r="A57" s="1" t="s">
        <v>3</v>
      </c>
      <c r="B57" s="1" t="s">
        <v>81</v>
      </c>
    </row>
    <row r="58" spans="1:2" x14ac:dyDescent="0.25">
      <c r="A58" t="s">
        <v>12</v>
      </c>
      <c r="B58" s="7">
        <f>SUMPRODUCT(('DAILY SALES LOG'!$A$2:$A$500&gt;=DATE(2026,6,1))*('DAILY SALES LOG'!$A$2:$A$500&lt;DATE(2026,7,1))*('DAILY SALES LOG'!$D$2:$D$500="Gallery Art")*('DAILY SALES LOG'!$G$2:$G$500))</f>
      </c>
    </row>
    <row r="59" spans="1:2" x14ac:dyDescent="0.25">
      <c r="A59" t="s">
        <v>23</v>
      </c>
      <c r="B59" s="7">
        <f>SUMPRODUCT(('DAILY SALES LOG'!$A$2:$A$500&gt;=DATE(2026,6,1))*('DAILY SALES LOG'!$A$2:$A$500&lt;DATE(2026,7,1))*('DAILY SALES LOG'!$D$2:$D$500="Fashion")*('DAILY SALES LOG'!$G$2:$G$500))</f>
      </c>
    </row>
    <row r="60" spans="1:2" x14ac:dyDescent="0.25">
      <c r="A60" t="s">
        <v>31</v>
      </c>
      <c r="B60" s="7">
        <f>SUMPRODUCT(('DAILY SALES LOG'!$A$2:$A$500&gt;=DATE(2026,6,1))*('DAILY SALES LOG'!$A$2:$A$500&lt;DATE(2026,7,1))*('DAILY SALES LOG'!$D$2:$D$500="Gifts")*('DAILY SALES LOG'!$G$2:$G$500))</f>
      </c>
    </row>
    <row r="61" spans="1:2" x14ac:dyDescent="0.25">
      <c r="A61" t="s">
        <v>34</v>
      </c>
      <c r="B61" s="7">
        <f>SUMPRODUCT(('DAILY SALES LOG'!$A$2:$A$500&gt;=DATE(2026,6,1))*('DAILY SALES LOG'!$A$2:$A$500&lt;DATE(2026,7,1))*('DAILY SALES LOG'!$D$2:$D$500="Custom Orders")*('DAILY SALES LOG'!$G$2:$G$500))</f>
      </c>
    </row>
    <row r="63" spans="1:2" x14ac:dyDescent="0.25">
      <c r="A63" s="10" t="s">
        <v>181</v>
      </c>
      <c r="B63" s="10"/>
    </row>
    <row r="64" spans="1:2" x14ac:dyDescent="0.25">
      <c r="A64" s="1" t="s">
        <v>0</v>
      </c>
      <c r="B64" s="1" t="s">
        <v>182</v>
      </c>
    </row>
    <row r="65" spans="1:2" x14ac:dyDescent="0.25">
      <c r="A65" s="8">
        <f>'CASH FLOW TRACKER'!A25</f>
      </c>
      <c r="B65" s="7">
        <f>'CASH FLOW TRACKER'!L25</f>
      </c>
    </row>
    <row r="66" spans="1:2" x14ac:dyDescent="0.25">
      <c r="A66" s="8">
        <f>'CASH FLOW TRACKER'!A26</f>
      </c>
      <c r="B66" s="7">
        <f>'CASH FLOW TRACKER'!L26</f>
      </c>
    </row>
    <row r="67" spans="1:2" x14ac:dyDescent="0.25">
      <c r="A67" s="8">
        <f>'CASH FLOW TRACKER'!A27</f>
      </c>
      <c r="B67" s="7">
        <f>'CASH FLOW TRACKER'!L27</f>
      </c>
    </row>
    <row r="68" spans="1:2" x14ac:dyDescent="0.25">
      <c r="A68" s="8">
        <f>'CASH FLOW TRACKER'!A28</f>
      </c>
      <c r="B68" s="7">
        <f>'CASH FLOW TRACKER'!L28</f>
      </c>
    </row>
    <row r="69" spans="1:2" x14ac:dyDescent="0.25">
      <c r="A69" s="8">
        <f>'CASH FLOW TRACKER'!A29</f>
      </c>
      <c r="B69" s="7">
        <f>'CASH FLOW TRACKER'!L29</f>
      </c>
    </row>
    <row r="70" spans="1:2" x14ac:dyDescent="0.25">
      <c r="A70" s="8">
        <f>'CASH FLOW TRACKER'!A30</f>
      </c>
      <c r="B70" s="7">
        <f>'CASH FLOW TRACKER'!L30</f>
      </c>
    </row>
    <row r="71" spans="1:2" x14ac:dyDescent="0.25">
      <c r="A71" s="8">
        <f>'CASH FLOW TRACKER'!A31</f>
      </c>
      <c r="B71" s="7">
        <f>'CASH FLOW TRACKER'!L31</f>
      </c>
    </row>
  </sheetData>
  <mergeCells count="17">
    <mergeCell ref="A1:L1"/>
    <mergeCell ref="A2:B2"/>
    <mergeCell ref="C2:D2"/>
    <mergeCell ref="E2:F2"/>
    <mergeCell ref="G2:H2"/>
    <mergeCell ref="I2:J2"/>
    <mergeCell ref="A3:B4"/>
    <mergeCell ref="C3:D4"/>
    <mergeCell ref="E3:F4"/>
    <mergeCell ref="G3:H4"/>
    <mergeCell ref="I3:J4"/>
    <mergeCell ref="A6:D6"/>
    <mergeCell ref="A30:C30"/>
    <mergeCell ref="A39:D39"/>
    <mergeCell ref="A49:C49"/>
    <mergeCell ref="A56:B56"/>
    <mergeCell ref="A63:B6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FormatPr defaultRowHeight="15" outlineLevelRow="0" outlineLevelCol="0" x14ac:dyDescent="55"/>
  <cols>
    <col min="1" max="1" width="90" customWidth="1"/>
  </cols>
  <sheetData>
    <row r="1" ht="30" customHeight="1" spans="1:1" x14ac:dyDescent="0.25">
      <c r="A1" s="25" t="s">
        <v>183</v>
      </c>
    </row>
    <row r="2" ht="30" customHeight="1" spans="1:1" x14ac:dyDescent="0.25">
      <c r="A2" s="25"/>
    </row>
    <row r="3" ht="30" customHeight="1" spans="1:1" x14ac:dyDescent="0.25">
      <c r="A3" s="25"/>
    </row>
    <row r="4" ht="30" customHeight="1" spans="1:1" x14ac:dyDescent="0.25">
      <c r="A4" s="25"/>
    </row>
    <row r="5" ht="30" customHeight="1" spans="1:1" x14ac:dyDescent="0.25">
      <c r="A5" s="25"/>
    </row>
    <row r="6" ht="30" customHeight="1" spans="1:1" x14ac:dyDescent="0.25">
      <c r="A6" s="25"/>
    </row>
    <row r="8" spans="1:1" x14ac:dyDescent="0.25">
      <c r="A8" s="10" t="s">
        <v>184</v>
      </c>
    </row>
    <row r="9" ht="75" customHeight="1" spans="1:1" x14ac:dyDescent="0.25">
      <c r="A9" s="26" t="s">
        <v>185</v>
      </c>
    </row>
    <row r="11" spans="1:1" x14ac:dyDescent="0.25">
      <c r="A11" s="10" t="s">
        <v>186</v>
      </c>
    </row>
    <row r="12" ht="140" customHeight="1" spans="1:1" x14ac:dyDescent="0.25">
      <c r="A12" s="26" t="s">
        <v>187</v>
      </c>
    </row>
    <row r="14" spans="1:1" x14ac:dyDescent="0.25">
      <c r="A14" s="10" t="s">
        <v>188</v>
      </c>
    </row>
    <row r="15" ht="75" customHeight="1" spans="1:1" x14ac:dyDescent="0.25">
      <c r="A15" s="26" t="s">
        <v>189</v>
      </c>
    </row>
    <row r="17" spans="1:1" x14ac:dyDescent="0.25">
      <c r="A17" s="10" t="s">
        <v>190</v>
      </c>
    </row>
    <row r="18" ht="75" customHeight="1" spans="1:1" x14ac:dyDescent="0.25">
      <c r="A18" s="26" t="s">
        <v>191</v>
      </c>
    </row>
    <row r="20" spans="1:1" x14ac:dyDescent="0.25">
      <c r="A20" s="10" t="s">
        <v>192</v>
      </c>
    </row>
    <row r="21" ht="75" customHeight="1" spans="1:1" x14ac:dyDescent="0.25">
      <c r="A21" s="26" t="s">
        <v>193</v>
      </c>
    </row>
    <row r="23" spans="1:1" x14ac:dyDescent="0.25">
      <c r="A23" s="10" t="s">
        <v>194</v>
      </c>
    </row>
    <row r="24" ht="75" customHeight="1" spans="1:1" x14ac:dyDescent="0.25">
      <c r="A24" s="26" t="s">
        <v>195</v>
      </c>
    </row>
    <row r="26" spans="1:1" x14ac:dyDescent="0.25">
      <c r="A26" s="10" t="s">
        <v>196</v>
      </c>
    </row>
    <row r="27" ht="80" customHeight="1" spans="1:1" x14ac:dyDescent="0.25">
      <c r="A27" s="26" t="s">
        <v>197</v>
      </c>
    </row>
    <row r="29" spans="1:1" x14ac:dyDescent="0.25">
      <c r="A29" s="10" t="s">
        <v>198</v>
      </c>
    </row>
    <row r="30" ht="75" customHeight="1" spans="1:1" x14ac:dyDescent="0.25">
      <c r="A30" s="26" t="s">
        <v>199</v>
      </c>
    </row>
    <row r="32" spans="1:1" x14ac:dyDescent="0.25">
      <c r="A32" s="27" t="s">
        <v>200</v>
      </c>
    </row>
  </sheetData>
  <mergeCells count="1">
    <mergeCell ref="A1:A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DAILY SALES LOG</vt:lpstr>
      <vt:lpstr>__prices</vt:lpstr>
      <vt:lpstr>WEEKLY SUMMARY</vt:lpstr>
      <vt:lpstr>MONTHLY P&amp;L</vt:lpstr>
      <vt:lpstr>CASH FLOW TRACKER</vt:lpstr>
      <vt:lpstr>INVENTORY</vt:lpstr>
      <vt:lpstr>DASHBOARD</vt:lpstr>
      <vt:lpstr>SETUP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Kunateh Impact</dc:creator>
  <dc:title>Kunateh SME Operating Workbook (Ghana)</dc:title>
  <dc:subject/>
  <dc:description/>
  <cp:keywords/>
  <cp:category/>
  <cp:lastModifiedBy>Unknown</cp:lastModifiedBy>
  <dcterms:created xsi:type="dcterms:W3CDTF">2026-07-13T19:22:30Z</dcterms:created>
  <dcterms:modified xsi:type="dcterms:W3CDTF">2026-07-13T19:22:30Z</dcterms:modified>
</cp:coreProperties>
</file>